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72C98505-0387-42FF-86B6-063F4074514A}" xr6:coauthVersionLast="45" xr6:coauthVersionMax="45" xr10:uidLastSave="{00000000-0000-0000-0000-000000000000}"/>
  <bookViews>
    <workbookView xWindow="2622" yWindow="2622" windowWidth="17728" windowHeight="6398"/>
  </bookViews>
  <sheets>
    <sheet name="Selections" sheetId="1" r:id="rId1"/>
    <sheet name="Totals" sheetId="2" r:id="rId2"/>
  </sheets>
  <definedNames>
    <definedName name="_xlnm._FilterDatabase" localSheetId="0" hidden="1">Selections!$A$1:$AA$62</definedName>
    <definedName name="OLE_LINK1" localSheetId="0">Selections!$B$19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2" i="2" l="1"/>
  <c r="D72" i="2" s="1"/>
  <c r="B28" i="2"/>
  <c r="D28" i="2" s="1"/>
  <c r="B58" i="2"/>
  <c r="D58" i="2" s="1"/>
  <c r="B64" i="2"/>
  <c r="D64" i="2" s="1"/>
  <c r="B67" i="2"/>
  <c r="D67" i="2" s="1"/>
  <c r="B82" i="2"/>
  <c r="D82" i="2" s="1"/>
  <c r="B56" i="2"/>
  <c r="D56" i="2" s="1"/>
  <c r="B75" i="2"/>
  <c r="D75" i="2" s="1"/>
  <c r="B73" i="2"/>
  <c r="D73" i="2" s="1"/>
  <c r="B81" i="2"/>
  <c r="D81" i="2" s="1"/>
  <c r="B74" i="2"/>
  <c r="D74" i="2" s="1"/>
  <c r="B59" i="2"/>
  <c r="D59" i="2" s="1"/>
  <c r="B61" i="2"/>
  <c r="D61" i="2" s="1"/>
  <c r="B71" i="2"/>
  <c r="D71" i="2" s="1"/>
  <c r="B57" i="2"/>
  <c r="D57" i="2" s="1"/>
  <c r="B66" i="2"/>
  <c r="D66" i="2" s="1"/>
  <c r="B80" i="2"/>
  <c r="D80" i="2" s="1"/>
  <c r="B79" i="2"/>
  <c r="D79" i="2" s="1"/>
  <c r="B69" i="2"/>
  <c r="D69" i="2" s="1"/>
  <c r="B60" i="2"/>
  <c r="D60" i="2" s="1"/>
  <c r="B68" i="2"/>
  <c r="D68" i="2" s="1"/>
  <c r="B62" i="2"/>
  <c r="D62" i="2" s="1"/>
  <c r="B78" i="2"/>
  <c r="D78" i="2" s="1"/>
  <c r="B63" i="2"/>
  <c r="D63" i="2" s="1"/>
  <c r="B70" i="2"/>
  <c r="D70" i="2" s="1"/>
  <c r="B77" i="2"/>
  <c r="D77" i="2" s="1"/>
  <c r="B76" i="2"/>
  <c r="D76" i="2" s="1"/>
  <c r="B65" i="2"/>
  <c r="D65" i="2" s="1"/>
  <c r="B98" i="2"/>
  <c r="D98" i="2" s="1"/>
  <c r="B97" i="2"/>
  <c r="D97" i="2" s="1"/>
  <c r="B99" i="2"/>
  <c r="D99" i="2" s="1"/>
  <c r="B95" i="2"/>
  <c r="D95" i="2" s="1"/>
  <c r="B96" i="2"/>
  <c r="D96" i="2" s="1"/>
  <c r="B94" i="2"/>
  <c r="D94" i="2" s="1"/>
  <c r="B93" i="2"/>
  <c r="D93" i="2" s="1"/>
  <c r="B92" i="2"/>
  <c r="D92" i="2" s="1"/>
  <c r="B89" i="2"/>
  <c r="D89" i="2" s="1"/>
  <c r="B88" i="2"/>
  <c r="D88" i="2" s="1"/>
  <c r="B91" i="2"/>
  <c r="D91" i="2" s="1"/>
  <c r="B87" i="2"/>
  <c r="D87" i="2" s="1"/>
  <c r="B90" i="2"/>
  <c r="D90" i="2" s="1"/>
  <c r="B86" i="2"/>
  <c r="D86" i="2" s="1"/>
  <c r="B85" i="2"/>
  <c r="D85" i="2" s="1"/>
  <c r="B84" i="2"/>
  <c r="D84" i="2" s="1"/>
  <c r="B83" i="2"/>
  <c r="D83" i="2" s="1"/>
  <c r="B55" i="2"/>
  <c r="D55" i="2" s="1"/>
  <c r="B35" i="2"/>
  <c r="D35" i="2" s="1"/>
  <c r="B32" i="2"/>
  <c r="D32" i="2" s="1"/>
  <c r="B44" i="2"/>
  <c r="D44" i="2" s="1"/>
  <c r="B51" i="2"/>
  <c r="D51" i="2" s="1"/>
  <c r="B48" i="2"/>
  <c r="D48" i="2" s="1"/>
  <c r="B42" i="2"/>
  <c r="D42" i="2" s="1"/>
  <c r="B41" i="2"/>
  <c r="D41" i="2" s="1"/>
  <c r="B47" i="2"/>
  <c r="D47" i="2" s="1"/>
  <c r="B34" i="2"/>
  <c r="D34" i="2" s="1"/>
  <c r="B50" i="2"/>
  <c r="D50" i="2" s="1"/>
  <c r="B36" i="2"/>
  <c r="D36" i="2" s="1"/>
  <c r="B39" i="2"/>
  <c r="D39" i="2" s="1"/>
  <c r="B46" i="2"/>
  <c r="D46" i="2" s="1"/>
  <c r="B33" i="2"/>
  <c r="D33" i="2" s="1"/>
  <c r="B49" i="2"/>
  <c r="D49" i="2" s="1"/>
  <c r="B45" i="2"/>
  <c r="D45" i="2" s="1"/>
  <c r="B31" i="2"/>
  <c r="D31" i="2" s="1"/>
  <c r="B30" i="2"/>
  <c r="D30" i="2" s="1"/>
  <c r="B43" i="2"/>
  <c r="D43" i="2" s="1"/>
  <c r="B37" i="2"/>
  <c r="D37" i="2" s="1"/>
  <c r="B38" i="2"/>
  <c r="D38" i="2" s="1"/>
  <c r="B20" i="2"/>
  <c r="D20" i="2" s="1"/>
  <c r="B25" i="2"/>
  <c r="D25" i="2" s="1"/>
  <c r="B29" i="2"/>
  <c r="D29" i="2" s="1"/>
  <c r="B27" i="2"/>
  <c r="D27" i="2" s="1"/>
  <c r="B21" i="2"/>
  <c r="D21" i="2" s="1"/>
  <c r="B24" i="2"/>
  <c r="D24" i="2" s="1"/>
  <c r="B19" i="2"/>
  <c r="D19" i="2" s="1"/>
  <c r="B14" i="2"/>
  <c r="D14" i="2" s="1"/>
  <c r="B52" i="2"/>
  <c r="D52" i="2" s="1"/>
  <c r="B13" i="2"/>
  <c r="D13" i="2" s="1"/>
  <c r="B12" i="2"/>
  <c r="D12" i="2" s="1"/>
  <c r="B26" i="2"/>
  <c r="D26" i="2" s="1"/>
  <c r="B40" i="2"/>
  <c r="D40" i="2" s="1"/>
  <c r="B15" i="2"/>
  <c r="D15" i="2" s="1"/>
  <c r="B23" i="2"/>
  <c r="D23" i="2" s="1"/>
  <c r="B18" i="2"/>
  <c r="D18" i="2" s="1"/>
  <c r="B22" i="2"/>
  <c r="D22" i="2" s="1"/>
  <c r="B17" i="2"/>
  <c r="D17" i="2" s="1"/>
  <c r="B16" i="2"/>
  <c r="D16" i="2" s="1"/>
  <c r="B4" i="2"/>
  <c r="D4" i="2" s="1"/>
  <c r="B10" i="2"/>
  <c r="D10" i="2" s="1"/>
  <c r="B11" i="2"/>
  <c r="D11" i="2" s="1"/>
  <c r="B7" i="2"/>
  <c r="D7" i="2" s="1"/>
  <c r="B5" i="2"/>
  <c r="D5" i="2" s="1"/>
  <c r="B9" i="2"/>
  <c r="D9" i="2" s="1"/>
  <c r="B6" i="2"/>
  <c r="D6" i="2" s="1"/>
  <c r="B8" i="2"/>
  <c r="D8" i="2" s="1"/>
  <c r="B3" i="2"/>
  <c r="D3" i="2" s="1"/>
  <c r="B2" i="2"/>
  <c r="D2" i="2" s="1"/>
  <c r="D15" i="1"/>
  <c r="D9" i="1"/>
  <c r="D55" i="1"/>
  <c r="D33" i="1"/>
  <c r="D49" i="1"/>
  <c r="D36" i="1"/>
  <c r="D10" i="1"/>
  <c r="D14" i="1"/>
  <c r="D41" i="1"/>
  <c r="D57" i="1"/>
  <c r="D62" i="1"/>
  <c r="D8" i="1"/>
  <c r="D3" i="1"/>
  <c r="D13" i="1"/>
  <c r="D47" i="1"/>
  <c r="D21" i="1"/>
  <c r="D56" i="1"/>
  <c r="D6" i="1"/>
  <c r="D16" i="1"/>
  <c r="D42" i="1"/>
  <c r="D26" i="1"/>
  <c r="D5" i="1"/>
  <c r="D19" i="1"/>
  <c r="D31" i="1"/>
  <c r="D27" i="1"/>
  <c r="D17" i="1"/>
  <c r="D45" i="1"/>
  <c r="D54" i="1"/>
  <c r="D7" i="1"/>
  <c r="D58" i="1"/>
  <c r="D38" i="1"/>
  <c r="D20" i="1"/>
  <c r="D12" i="1"/>
  <c r="D39" i="1"/>
  <c r="D44" i="1"/>
  <c r="D60" i="1"/>
  <c r="D24" i="1"/>
  <c r="D23" i="1"/>
  <c r="D11" i="1"/>
  <c r="D53" i="1"/>
  <c r="D25" i="1"/>
  <c r="D29" i="1"/>
  <c r="D52" i="1"/>
  <c r="D35" i="1"/>
  <c r="D50" i="1"/>
  <c r="D2" i="1"/>
  <c r="D22" i="1"/>
  <c r="D43" i="1"/>
  <c r="D30" i="1"/>
  <c r="D32" i="1"/>
  <c r="D40" i="1"/>
  <c r="D28" i="1"/>
  <c r="D18" i="1"/>
  <c r="D34" i="1"/>
  <c r="D48" i="1"/>
  <c r="D37" i="1"/>
  <c r="D59" i="1"/>
  <c r="D4" i="1"/>
  <c r="D51" i="1"/>
  <c r="D46" i="1"/>
  <c r="D61" i="1"/>
  <c r="B53" i="2"/>
  <c r="D53" i="2" s="1"/>
  <c r="B54" i="2"/>
  <c r="D54" i="2"/>
</calcChain>
</file>

<file path=xl/sharedStrings.xml><?xml version="1.0" encoding="utf-8"?>
<sst xmlns="http://schemas.openxmlformats.org/spreadsheetml/2006/main" count="1220" uniqueCount="337">
  <si>
    <t>Mike Kraemer 2</t>
  </si>
  <si>
    <t>Mike Kraemer 3</t>
  </si>
  <si>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</si>
  <si>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</si>
  <si>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</si>
  <si>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</si>
  <si>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</si>
  <si>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</si>
  <si>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</si>
  <si>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</si>
  <si>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</si>
  <si>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</si>
  <si>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</si>
  <si>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</si>
  <si>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</si>
  <si>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</si>
  <si>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</si>
  <si>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</si>
  <si>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Money Won</t>
  </si>
  <si>
    <t>Group E.1</t>
  </si>
  <si>
    <t>Group E.1 $</t>
  </si>
  <si>
    <t>Group E.2 $</t>
  </si>
  <si>
    <t>Group F.1 $</t>
  </si>
  <si>
    <t>Group E.2</t>
  </si>
  <si>
    <t>Group F.1</t>
  </si>
  <si>
    <t>Name</t>
  </si>
  <si>
    <t xml:space="preserve">Robert Allenby </t>
  </si>
  <si>
    <t xml:space="preserve">Stephen Ames </t>
  </si>
  <si>
    <t xml:space="preserve">Stuart Appleby </t>
  </si>
  <si>
    <t xml:space="preserve">Michael Campbell </t>
  </si>
  <si>
    <t xml:space="preserve">Paul Casey </t>
  </si>
  <si>
    <t xml:space="preserve">Stewart Cink </t>
  </si>
  <si>
    <t xml:space="preserve">Tim Clark </t>
  </si>
  <si>
    <t xml:space="preserve">Fred Couples </t>
  </si>
  <si>
    <t xml:space="preserve">Ben Crenshaw </t>
  </si>
  <si>
    <t xml:space="preserve">Luke Donald </t>
  </si>
  <si>
    <t xml:space="preserve">Ernie Els </t>
  </si>
  <si>
    <t xml:space="preserve">Raymond Floyd </t>
  </si>
  <si>
    <t xml:space="preserve">Jim Furyk </t>
  </si>
  <si>
    <t xml:space="preserve">Sergio Garcia </t>
  </si>
  <si>
    <t xml:space="preserve">Retief Goosen </t>
  </si>
  <si>
    <t xml:space="preserve">Todd Hamilton </t>
  </si>
  <si>
    <t xml:space="preserve">Padraig Harrington </t>
  </si>
  <si>
    <t xml:space="preserve">Trevor Immelman </t>
  </si>
  <si>
    <t xml:space="preserve">Zach Johnson </t>
  </si>
  <si>
    <t xml:space="preserve">Jerry Kelly </t>
  </si>
  <si>
    <t xml:space="preserve">Bernhard Langer </t>
  </si>
  <si>
    <t xml:space="preserve">Sandy Lyle </t>
  </si>
  <si>
    <t xml:space="preserve">Phil Mickelson </t>
  </si>
  <si>
    <t xml:space="preserve">Larry Mize </t>
  </si>
  <si>
    <t xml:space="preserve">Geoff Ogilvy </t>
  </si>
  <si>
    <t xml:space="preserve">Jose Maria Olazabal </t>
  </si>
  <si>
    <t xml:space="preserve">Mark O'Meara </t>
  </si>
  <si>
    <t xml:space="preserve">Gary Player </t>
  </si>
  <si>
    <t xml:space="preserve">Ian Poulter </t>
  </si>
  <si>
    <t xml:space="preserve">Rory Sabbatini </t>
  </si>
  <si>
    <t xml:space="preserve">Adam Scott </t>
  </si>
  <si>
    <t xml:space="preserve">Vijay Singh </t>
  </si>
  <si>
    <t xml:space="preserve">Craig Stadler </t>
  </si>
  <si>
    <t xml:space="preserve">Henrik Stenson </t>
  </si>
  <si>
    <t xml:space="preserve">Steve Stricker </t>
  </si>
  <si>
    <t xml:space="preserve">Tom Watson </t>
  </si>
  <si>
    <t xml:space="preserve">Mike Weir </t>
  </si>
  <si>
    <t xml:space="preserve">Lee Westwood </t>
  </si>
  <si>
    <t xml:space="preserve">Tiger Woods </t>
  </si>
  <si>
    <t xml:space="preserve">Ian Woosnam </t>
  </si>
  <si>
    <t xml:space="preserve">Fuzzy Zoeller </t>
  </si>
  <si>
    <t>Number</t>
  </si>
  <si>
    <t xml:space="preserve">Miguel Jimenez </t>
  </si>
  <si>
    <t>K.J. Choi</t>
  </si>
  <si>
    <t>E-Mail</t>
  </si>
  <si>
    <t>Who collects?</t>
  </si>
  <si>
    <t>Dave Valento</t>
  </si>
  <si>
    <t>Jason Dario</t>
  </si>
  <si>
    <t>Jim Furyk</t>
  </si>
  <si>
    <t>Vijay Singh</t>
  </si>
  <si>
    <t>Jose Maria Olazabal</t>
  </si>
  <si>
    <t>Henrik Stenson</t>
  </si>
  <si>
    <t>Ian Woosnam</t>
  </si>
  <si>
    <t xml:space="preserve">Angel Cabrerra </t>
  </si>
  <si>
    <t>Phil Mickelson</t>
  </si>
  <si>
    <t>Miguel Jimenez</t>
  </si>
  <si>
    <t>Rory Sabbatini</t>
  </si>
  <si>
    <t>Camilo Villegas</t>
  </si>
  <si>
    <t>Zach Johnson</t>
  </si>
  <si>
    <t>Tiger Woods</t>
  </si>
  <si>
    <t>Tom Watson</t>
  </si>
  <si>
    <t>Stuart Appleby</t>
  </si>
  <si>
    <t>Geoff Ogilvy</t>
  </si>
  <si>
    <t>Robert Allenby</t>
  </si>
  <si>
    <t>Trevor Immelman</t>
  </si>
  <si>
    <t>Tim Clark</t>
  </si>
  <si>
    <t>Luke Donald</t>
  </si>
  <si>
    <t>Ian Poulter</t>
  </si>
  <si>
    <t>Adam Scott</t>
  </si>
  <si>
    <t>Stephen Johnson</t>
  </si>
  <si>
    <t>Paul Casey</t>
  </si>
  <si>
    <t>Robert Karlsson</t>
  </si>
  <si>
    <t>Stewart Cink</t>
  </si>
  <si>
    <t>Shingo Katayama</t>
  </si>
  <si>
    <t>Aaron Baddeley</t>
  </si>
  <si>
    <t>Fred Couples</t>
  </si>
  <si>
    <t>Stephen Ames</t>
  </si>
  <si>
    <t>Mark Wientjes</t>
  </si>
  <si>
    <t>Sergio Garcia</t>
  </si>
  <si>
    <t>Craig Johnson</t>
  </si>
  <si>
    <t>Padraig Harrington</t>
  </si>
  <si>
    <t>Ryan Wensmann</t>
  </si>
  <si>
    <t>Jim Tollefsbol</t>
  </si>
  <si>
    <t>Jacob Fick</t>
  </si>
  <si>
    <t>Ernie Els</t>
  </si>
  <si>
    <t>Justin Rose</t>
  </si>
  <si>
    <t>Adam Rutzick</t>
  </si>
  <si>
    <t>Chieflit@aol.com</t>
  </si>
  <si>
    <t>Todd Hamilton</t>
  </si>
  <si>
    <t>Buck Haugen</t>
  </si>
  <si>
    <t>Lucas Kanavati</t>
  </si>
  <si>
    <t>Tom.Buslee@traditionllc.com</t>
  </si>
  <si>
    <t>Mel Dario</t>
  </si>
  <si>
    <t>Mark O'Meara</t>
  </si>
  <si>
    <t>Tom Nast</t>
  </si>
  <si>
    <t>Tnast@traditionllc.com</t>
  </si>
  <si>
    <t>Steve Stricker</t>
  </si>
  <si>
    <t>D</t>
  </si>
  <si>
    <t>A</t>
  </si>
  <si>
    <t>E</t>
  </si>
  <si>
    <t>B</t>
  </si>
  <si>
    <t>C</t>
  </si>
  <si>
    <t>F</t>
  </si>
  <si>
    <t>Group</t>
  </si>
  <si>
    <t>Participant</t>
  </si>
  <si>
    <t>Justin Leonard</t>
  </si>
  <si>
    <t>Bubba Watson</t>
  </si>
  <si>
    <t>J. B. Holmes</t>
  </si>
  <si>
    <t>Hunter Mahan</t>
  </si>
  <si>
    <t>Boo Weekley</t>
  </si>
  <si>
    <t>Steve Flesch</t>
  </si>
  <si>
    <t>Soren Hansen</t>
  </si>
  <si>
    <t>Martin Kaymer</t>
  </si>
  <si>
    <t>Nick Watney</t>
  </si>
  <si>
    <t>Prayad Marksaeng</t>
  </si>
  <si>
    <t>Sean O'Hair</t>
  </si>
  <si>
    <t>Anders Romero</t>
  </si>
  <si>
    <t>Brandt Snedeker</t>
  </si>
  <si>
    <t>Richard Steme</t>
  </si>
  <si>
    <t>D. J. Trahan</t>
  </si>
  <si>
    <t>Tom Williams</t>
  </si>
  <si>
    <t>prathmanner@nexuspointmortgage.com</t>
  </si>
  <si>
    <t>Peter Rathmanner</t>
  </si>
  <si>
    <t>Perrault@aol.com</t>
  </si>
  <si>
    <t>Mark Tollefsbol</t>
  </si>
  <si>
    <t>Terry Wensmann 1</t>
  </si>
  <si>
    <t>Terry Wensmann 2</t>
  </si>
  <si>
    <t>Paul Lindstrom 1</t>
  </si>
  <si>
    <t>Paul Lindstrom 2</t>
  </si>
  <si>
    <t>Peterkraker@netscape.net</t>
  </si>
  <si>
    <t>Peter Kraker 1</t>
  </si>
  <si>
    <t>Peter Kraker 2</t>
  </si>
  <si>
    <t>Craig Mulcahy</t>
  </si>
  <si>
    <t>cmulcahy@mucr.com</t>
  </si>
  <si>
    <t>Steve Willard</t>
  </si>
  <si>
    <t>Bob Lawrence</t>
  </si>
  <si>
    <t>BobL@Nasseff.com</t>
  </si>
  <si>
    <t>Steve Stanley</t>
  </si>
  <si>
    <t>Sstanley@mucr.com</t>
  </si>
  <si>
    <t>Lee Westwood</t>
  </si>
  <si>
    <t>Odds</t>
  </si>
  <si>
    <t>25-1</t>
  </si>
  <si>
    <t>70-1</t>
  </si>
  <si>
    <t>60-1</t>
  </si>
  <si>
    <t>125-1</t>
  </si>
  <si>
    <t>100-1</t>
  </si>
  <si>
    <t>80-1</t>
  </si>
  <si>
    <t>66-1</t>
  </si>
  <si>
    <t>150-1</t>
  </si>
  <si>
    <t>15-1</t>
  </si>
  <si>
    <t>50-1</t>
  </si>
  <si>
    <t>250-1</t>
  </si>
  <si>
    <t>300-1</t>
  </si>
  <si>
    <t>200-1</t>
  </si>
  <si>
    <t>175-1</t>
  </si>
  <si>
    <t>40-1</t>
  </si>
  <si>
    <t>90-1</t>
  </si>
  <si>
    <t>400-1</t>
  </si>
  <si>
    <t>500-1</t>
  </si>
  <si>
    <t>600-1</t>
  </si>
  <si>
    <t>1000-1</t>
  </si>
  <si>
    <t>2000-1</t>
  </si>
  <si>
    <t>3000-1</t>
  </si>
  <si>
    <t>800-1</t>
  </si>
  <si>
    <t>10000-1</t>
  </si>
  <si>
    <t>Group F.2</t>
  </si>
  <si>
    <t>Group F.2 $</t>
  </si>
  <si>
    <t>Tyler.bauman@gmail.com</t>
  </si>
  <si>
    <t>Tyler Bauman</t>
  </si>
  <si>
    <t>Oliver Wilson</t>
  </si>
  <si>
    <t>Carl Pettersson</t>
  </si>
  <si>
    <t>Danny Lee</t>
  </si>
  <si>
    <t>Steve Wilson</t>
  </si>
  <si>
    <t>Troy Miller</t>
  </si>
  <si>
    <t>Tmiller@isd622.org</t>
  </si>
  <si>
    <t>Anthony Kim</t>
  </si>
  <si>
    <t>Pat Perez</t>
  </si>
  <si>
    <t>Bernard Langer</t>
  </si>
  <si>
    <t>Jack Newman</t>
  </si>
  <si>
    <t>Williams.ts@comcast.net</t>
  </si>
  <si>
    <t>K. J. Choi</t>
  </si>
  <si>
    <t>Drew Kittleson</t>
  </si>
  <si>
    <t>Reinier Saxton</t>
  </si>
  <si>
    <t>Tom Perrault 1</t>
  </si>
  <si>
    <t>Reteif Goosen</t>
  </si>
  <si>
    <t>Camilo Vilegas</t>
  </si>
  <si>
    <t>Angel Cabrera</t>
  </si>
  <si>
    <t>Ben Curtis</t>
  </si>
  <si>
    <t>Ryuji Imada</t>
  </si>
  <si>
    <t>Tom Perrault 2</t>
  </si>
  <si>
    <t>Mike Weir</t>
  </si>
  <si>
    <t>Y. E. Yang</t>
  </si>
  <si>
    <t>Craig Stadler</t>
  </si>
  <si>
    <t>Tom Buslee 1</t>
  </si>
  <si>
    <t>Tom Buslee 2</t>
  </si>
  <si>
    <t>Twensmann@wres-llc.com</t>
  </si>
  <si>
    <t>Rory McIlroy</t>
  </si>
  <si>
    <t>Stevew@nasseff.com</t>
  </si>
  <si>
    <t>Matthew Goggin</t>
  </si>
  <si>
    <t>Stephen.Johnson@rollouts.com</t>
  </si>
  <si>
    <t>Shawna Hansen</t>
  </si>
  <si>
    <t>Shawna_hansen@hotmail.com</t>
  </si>
  <si>
    <t>Wens0021@umn.edu</t>
  </si>
  <si>
    <t>Jeev Mikha Singh</t>
  </si>
  <si>
    <t>Rick Wegwerth</t>
  </si>
  <si>
    <t>rickwegwerth@qwestoffice.net</t>
  </si>
  <si>
    <t>Rich Eklund</t>
  </si>
  <si>
    <t>Rich_eklund@symantec.com</t>
  </si>
  <si>
    <t>Steve O'Hara</t>
  </si>
  <si>
    <t>Sohara8036@aol.com</t>
  </si>
  <si>
    <t>Fred Haberman</t>
  </si>
  <si>
    <t>Fred@habermaninc.com</t>
  </si>
  <si>
    <t>Peter Kraker</t>
  </si>
  <si>
    <t>Pslindstrom@comcast.net</t>
  </si>
  <si>
    <t>Graeme McDowell</t>
  </si>
  <si>
    <t>Andres Romero</t>
  </si>
  <si>
    <t>Kenny Perry</t>
  </si>
  <si>
    <t>Peter Kallal</t>
  </si>
  <si>
    <t>Simon@2ndswing.com</t>
  </si>
  <si>
    <t>Russ Higgins</t>
  </si>
  <si>
    <t>Greg Norman</t>
  </si>
  <si>
    <t>Briny Baird</t>
  </si>
  <si>
    <t>Ben Crenshaw</t>
  </si>
  <si>
    <t>Russ Higgins 1</t>
  </si>
  <si>
    <t>russ@2ndswing.com</t>
  </si>
  <si>
    <t>Russ Higgins 2</t>
  </si>
  <si>
    <t>Peter Grant</t>
  </si>
  <si>
    <t>Peter@valentims.com</t>
  </si>
  <si>
    <t>Mike Kraemer</t>
  </si>
  <si>
    <t>Mike.Kraemer@mgkcompanies.com</t>
  </si>
  <si>
    <t>Dustin Johnson</t>
  </si>
  <si>
    <t>Mggibbs78@yahoo.com</t>
  </si>
  <si>
    <t>Mike Gibbs 1</t>
  </si>
  <si>
    <t>Mike Gibbs 2</t>
  </si>
  <si>
    <t>Michael Marston</t>
  </si>
  <si>
    <t>buckshawholdings@gmail.com</t>
  </si>
  <si>
    <t>Meldario1@yahoo.com</t>
  </si>
  <si>
    <t>Mark.Wientjes@dell.com</t>
  </si>
  <si>
    <t>Mark@pulseproducts.com</t>
  </si>
  <si>
    <t>Ryo Ishikawa</t>
  </si>
  <si>
    <t>lucas.kanavati@traditionllc.com</t>
  </si>
  <si>
    <t>Joe Terry</t>
  </si>
  <si>
    <t>Anditerry1@yahoo.com</t>
  </si>
  <si>
    <t>Jtozzy@comcast,net</t>
  </si>
  <si>
    <t>Jason Godbout</t>
  </si>
  <si>
    <t>Jason@norfas.com</t>
  </si>
  <si>
    <t>Jay Godbout</t>
  </si>
  <si>
    <t>Ken Godbout</t>
  </si>
  <si>
    <t>Ken@norfas.com</t>
  </si>
  <si>
    <t>Larry Willson</t>
  </si>
  <si>
    <t>Larry@norfas.com</t>
  </si>
  <si>
    <t>Mark Willson</t>
  </si>
  <si>
    <t>Mawillson@mchsi.com</t>
  </si>
  <si>
    <t>jake.enebak@traditionllc.com</t>
  </si>
  <si>
    <t>Jake Enebak</t>
  </si>
  <si>
    <t>Jake Enebak 1</t>
  </si>
  <si>
    <t>Jake Enebak 2</t>
  </si>
  <si>
    <t>Henrick Stenson</t>
  </si>
  <si>
    <t>jasond@traditionllc.com</t>
  </si>
  <si>
    <t>Rocco Mediate</t>
  </si>
  <si>
    <t>Jacob.fick@traditiondevelopment.com</t>
  </si>
  <si>
    <t>Eric Lien</t>
  </si>
  <si>
    <t>Eric.Lien@genmills.com</t>
  </si>
  <si>
    <t>Douglas Kottke</t>
  </si>
  <si>
    <t>Dougekottke@yahoo.com</t>
  </si>
  <si>
    <t>David Lindberg</t>
  </si>
  <si>
    <t>david.lindberg@rollouts.com</t>
  </si>
  <si>
    <t>John Merrick</t>
  </si>
  <si>
    <t>Craig.Johnson@lfg.com</t>
  </si>
  <si>
    <t>Craig Johnson 1</t>
  </si>
  <si>
    <t>Craig Johnson 2</t>
  </si>
  <si>
    <t>Chris Keller</t>
  </si>
  <si>
    <t>Christopher_m_keller@hotmail.com</t>
  </si>
  <si>
    <t>Bphaugen@aol.com</t>
  </si>
  <si>
    <t>Louis Oosthuizen</t>
  </si>
  <si>
    <t>Bob Dianovsky</t>
  </si>
  <si>
    <t>Robert.Dianovsky@wrigley.com</t>
  </si>
  <si>
    <t>Todd Anthony</t>
  </si>
  <si>
    <t>todd@earlsfloorsanding.com</t>
  </si>
  <si>
    <t>Chad Campbell</t>
  </si>
  <si>
    <t xml:space="preserve">Jeev Mikha Singh </t>
  </si>
  <si>
    <t>Billy Mayfair</t>
  </si>
  <si>
    <t>Ken Duke</t>
  </si>
  <si>
    <t>Ross Fisher</t>
  </si>
  <si>
    <t>Dudley Hart</t>
  </si>
  <si>
    <t>Soren Kieldsen</t>
  </si>
  <si>
    <t>Rory McIroy</t>
  </si>
  <si>
    <t>Alvaro Quiros</t>
  </si>
  <si>
    <t>Chez Reavie</t>
  </si>
  <si>
    <t>Kevin Sutherland</t>
  </si>
  <si>
    <t>Lin Wen-Tang</t>
  </si>
  <si>
    <t>%</t>
  </si>
  <si>
    <t>2-1</t>
  </si>
  <si>
    <t>8-1</t>
  </si>
  <si>
    <t>33-1</t>
  </si>
  <si>
    <t>22-1</t>
  </si>
  <si>
    <t>45-1</t>
  </si>
  <si>
    <t>30-1</t>
  </si>
  <si>
    <t>55-1</t>
  </si>
  <si>
    <t>85-1</t>
  </si>
  <si>
    <t>75-1</t>
  </si>
  <si>
    <t>140-1</t>
  </si>
  <si>
    <t>225-1</t>
  </si>
  <si>
    <t>900-1</t>
  </si>
  <si>
    <t>4000-1</t>
  </si>
  <si>
    <t>8000-1</t>
  </si>
  <si>
    <t>22000-1</t>
  </si>
  <si>
    <t>1200-1</t>
  </si>
  <si>
    <t>1500-1</t>
  </si>
  <si>
    <t>1600-1</t>
  </si>
  <si>
    <t>david_valento@dell.com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</si>
</sst>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0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u/>
      <sz val="8"/>
      <color rgb="FF00B0F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49" fontId="7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vertical="top" wrapText="1"/>
    </xf>
    <xf numFmtId="0" fontId="5" fillId="7" borderId="11" xfId="0" applyFont="1" applyFill="1" applyBorder="1" applyAlignment="1">
      <alignment vertical="top" wrapText="1"/>
    </xf>
    <xf numFmtId="0" fontId="2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vertical="top" wrapText="1"/>
    </xf>
    <xf numFmtId="9" fontId="0" fillId="2" borderId="0" xfId="3" applyFont="1" applyFill="1" applyAlignment="1">
      <alignment horizontal="center"/>
    </xf>
    <xf numFmtId="0" fontId="2" fillId="8" borderId="1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vertical="top" wrapText="1"/>
    </xf>
    <xf numFmtId="0" fontId="2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49" fontId="7" fillId="8" borderId="5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vertical="top" wrapText="1"/>
    </xf>
    <xf numFmtId="0" fontId="2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49" fontId="7" fillId="6" borderId="4" xfId="0" applyNumberFormat="1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vertical="top" wrapText="1"/>
    </xf>
    <xf numFmtId="0" fontId="2" fillId="10" borderId="9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49" fontId="7" fillId="10" borderId="4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10" borderId="14" xfId="0" applyFont="1" applyFill="1" applyBorder="1" applyAlignment="1">
      <alignment vertical="top" wrapText="1"/>
    </xf>
    <xf numFmtId="0" fontId="2" fillId="10" borderId="14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49" fontId="7" fillId="10" borderId="3" xfId="0" applyNumberFormat="1" applyFont="1" applyFill="1" applyBorder="1" applyAlignment="1">
      <alignment horizontal="center"/>
    </xf>
    <xf numFmtId="9" fontId="3" fillId="3" borderId="7" xfId="3" applyFont="1" applyFill="1" applyBorder="1" applyAlignment="1">
      <alignment horizontal="center"/>
    </xf>
    <xf numFmtId="9" fontId="8" fillId="10" borderId="3" xfId="3" applyFont="1" applyFill="1" applyBorder="1" applyAlignment="1">
      <alignment horizontal="center"/>
    </xf>
    <xf numFmtId="9" fontId="8" fillId="10" borderId="16" xfId="3" applyFont="1" applyFill="1" applyBorder="1" applyAlignment="1">
      <alignment horizontal="center"/>
    </xf>
    <xf numFmtId="9" fontId="8" fillId="8" borderId="16" xfId="3" applyFont="1" applyFill="1" applyBorder="1" applyAlignment="1">
      <alignment horizontal="center"/>
    </xf>
    <xf numFmtId="9" fontId="8" fillId="7" borderId="16" xfId="3" applyFont="1" applyFill="1" applyBorder="1" applyAlignment="1">
      <alignment horizontal="center"/>
    </xf>
    <xf numFmtId="9" fontId="8" fillId="6" borderId="16" xfId="3" applyFont="1" applyFill="1" applyBorder="1" applyAlignment="1">
      <alignment horizontal="center"/>
    </xf>
    <xf numFmtId="9" fontId="8" fillId="9" borderId="16" xfId="3" applyFont="1" applyFill="1" applyBorder="1" applyAlignment="1">
      <alignment horizontal="center"/>
    </xf>
    <xf numFmtId="9" fontId="8" fillId="8" borderId="17" xfId="3" applyFont="1" applyFill="1" applyBorder="1" applyAlignment="1">
      <alignment horizontal="center"/>
    </xf>
    <xf numFmtId="0" fontId="3" fillId="4" borderId="7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top"/>
    </xf>
    <xf numFmtId="0" fontId="10" fillId="2" borderId="3" xfId="2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0" fillId="2" borderId="4" xfId="2" applyFont="1" applyFill="1" applyBorder="1" applyAlignment="1" applyProtection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0" fillId="2" borderId="16" xfId="2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44" fontId="2" fillId="2" borderId="0" xfId="1" applyFont="1" applyFill="1" applyBorder="1" applyAlignment="1">
      <alignment horizontal="right"/>
    </xf>
    <xf numFmtId="0" fontId="2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right"/>
    </xf>
    <xf numFmtId="0" fontId="2" fillId="11" borderId="12" xfId="0" applyFont="1" applyFill="1" applyBorder="1" applyAlignment="1">
      <alignment horizontal="right"/>
    </xf>
    <xf numFmtId="42" fontId="2" fillId="11" borderId="19" xfId="1" applyNumberFormat="1" applyFont="1" applyFill="1" applyBorder="1" applyAlignment="1">
      <alignment horizontal="right"/>
    </xf>
    <xf numFmtId="42" fontId="2" fillId="11" borderId="20" xfId="1" applyNumberFormat="1" applyFont="1" applyFill="1" applyBorder="1" applyAlignment="1">
      <alignment horizontal="right"/>
    </xf>
    <xf numFmtId="42" fontId="2" fillId="2" borderId="0" xfId="1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 vertical="center"/>
    </xf>
    <xf numFmtId="42" fontId="3" fillId="4" borderId="22" xfId="1" applyNumberFormat="1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right" vertical="center"/>
    </xf>
    <xf numFmtId="44" fontId="3" fillId="4" borderId="22" xfId="1" applyFont="1" applyFill="1" applyBorder="1" applyAlignment="1">
      <alignment horizontal="right" vertical="center"/>
    </xf>
    <xf numFmtId="44" fontId="3" fillId="4" borderId="24" xfId="1" applyFont="1" applyFill="1" applyBorder="1" applyAlignment="1">
      <alignment horizontal="right" vertical="center"/>
    </xf>
    <xf numFmtId="0" fontId="2" fillId="11" borderId="14" xfId="0" applyFont="1" applyFill="1" applyBorder="1" applyAlignment="1">
      <alignment horizontal="right"/>
    </xf>
    <xf numFmtId="42" fontId="2" fillId="11" borderId="25" xfId="1" applyNumberFormat="1" applyFont="1" applyFill="1" applyBorder="1" applyAlignment="1">
      <alignment horizontal="right"/>
    </xf>
    <xf numFmtId="0" fontId="10" fillId="2" borderId="17" xfId="2" applyFont="1" applyFill="1" applyBorder="1" applyAlignment="1" applyProtection="1">
      <alignment horizontal="right"/>
    </xf>
    <xf numFmtId="170" fontId="3" fillId="4" borderId="18" xfId="1" applyNumberFormat="1" applyFont="1" applyFill="1" applyBorder="1" applyAlignment="1">
      <alignment horizontal="right" vertical="center"/>
    </xf>
    <xf numFmtId="170" fontId="2" fillId="5" borderId="3" xfId="1" applyNumberFormat="1" applyFont="1" applyFill="1" applyBorder="1" applyAlignment="1">
      <alignment horizontal="right"/>
    </xf>
    <xf numFmtId="170" fontId="2" fillId="5" borderId="4" xfId="1" applyNumberFormat="1" applyFont="1" applyFill="1" applyBorder="1" applyAlignment="1">
      <alignment horizontal="right"/>
    </xf>
    <xf numFmtId="170" fontId="2" fillId="5" borderId="5" xfId="1" applyNumberFormat="1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"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awna_hansen@hotmail.com" TargetMode="External"/><Relationship Id="rId18" Type="http://schemas.openxmlformats.org/officeDocument/2006/relationships/hyperlink" Target="mailto:Sohara8036@aol.com" TargetMode="External"/><Relationship Id="rId26" Type="http://schemas.openxmlformats.org/officeDocument/2006/relationships/hyperlink" Target="mailto:russ@2ndswing.com" TargetMode="External"/><Relationship Id="rId39" Type="http://schemas.openxmlformats.org/officeDocument/2006/relationships/hyperlink" Target="mailto:Ken@norfas.com" TargetMode="External"/><Relationship Id="rId21" Type="http://schemas.openxmlformats.org/officeDocument/2006/relationships/hyperlink" Target="mailto:Peterkraker@netscape.net" TargetMode="External"/><Relationship Id="rId34" Type="http://schemas.openxmlformats.org/officeDocument/2006/relationships/hyperlink" Target="mailto:Mark@pulseproducts.com" TargetMode="External"/><Relationship Id="rId42" Type="http://schemas.openxmlformats.org/officeDocument/2006/relationships/hyperlink" Target="mailto:jake.enebak@traditionllc.com" TargetMode="External"/><Relationship Id="rId47" Type="http://schemas.openxmlformats.org/officeDocument/2006/relationships/hyperlink" Target="mailto:Dougekottke@yahoo.com" TargetMode="External"/><Relationship Id="rId50" Type="http://schemas.openxmlformats.org/officeDocument/2006/relationships/hyperlink" Target="mailto:cmulcahy@mucr.com" TargetMode="External"/><Relationship Id="rId55" Type="http://schemas.openxmlformats.org/officeDocument/2006/relationships/hyperlink" Target="mailto:BobL@Nasseff.com" TargetMode="External"/><Relationship Id="rId7" Type="http://schemas.openxmlformats.org/officeDocument/2006/relationships/hyperlink" Target="mailto:Tom.Buslee@traditionllc.com" TargetMode="External"/><Relationship Id="rId2" Type="http://schemas.openxmlformats.org/officeDocument/2006/relationships/hyperlink" Target="mailto:Tmiller@isd622.org" TargetMode="External"/><Relationship Id="rId16" Type="http://schemas.openxmlformats.org/officeDocument/2006/relationships/hyperlink" Target="mailto:Rich_eklund@symantec.com" TargetMode="External"/><Relationship Id="rId29" Type="http://schemas.openxmlformats.org/officeDocument/2006/relationships/hyperlink" Target="mailto:Mggibbs78@yahoo.com" TargetMode="External"/><Relationship Id="rId11" Type="http://schemas.openxmlformats.org/officeDocument/2006/relationships/hyperlink" Target="mailto:Stevew@nasseff.com" TargetMode="External"/><Relationship Id="rId24" Type="http://schemas.openxmlformats.org/officeDocument/2006/relationships/hyperlink" Target="mailto:Simon@2ndswing.com" TargetMode="External"/><Relationship Id="rId32" Type="http://schemas.openxmlformats.org/officeDocument/2006/relationships/hyperlink" Target="mailto:Meldario1@yahoo.com" TargetMode="External"/><Relationship Id="rId37" Type="http://schemas.openxmlformats.org/officeDocument/2006/relationships/hyperlink" Target="mailto:Jtozzy@comcast,net" TargetMode="External"/><Relationship Id="rId40" Type="http://schemas.openxmlformats.org/officeDocument/2006/relationships/hyperlink" Target="mailto:Larry@norfas.com" TargetMode="External"/><Relationship Id="rId45" Type="http://schemas.openxmlformats.org/officeDocument/2006/relationships/hyperlink" Target="mailto:Jacob.fick@traditiondevelopment.com" TargetMode="External"/><Relationship Id="rId53" Type="http://schemas.openxmlformats.org/officeDocument/2006/relationships/hyperlink" Target="mailto:Christopher_m_keller@hotmail.com" TargetMode="External"/><Relationship Id="rId58" Type="http://schemas.openxmlformats.org/officeDocument/2006/relationships/hyperlink" Target="mailto:todd@earlsfloorsanding.com" TargetMode="External"/><Relationship Id="rId5" Type="http://schemas.openxmlformats.org/officeDocument/2006/relationships/hyperlink" Target="mailto:Perrault@aol.com" TargetMode="External"/><Relationship Id="rId61" Type="http://schemas.openxmlformats.org/officeDocument/2006/relationships/hyperlink" Target="mailto:Mike.Kraemer@mgkcompanies.com" TargetMode="External"/><Relationship Id="rId19" Type="http://schemas.openxmlformats.org/officeDocument/2006/relationships/hyperlink" Target="mailto:Fred@habermaninc.com" TargetMode="External"/><Relationship Id="rId14" Type="http://schemas.openxmlformats.org/officeDocument/2006/relationships/hyperlink" Target="mailto:Wens0021@umn.edu" TargetMode="External"/><Relationship Id="rId22" Type="http://schemas.openxmlformats.org/officeDocument/2006/relationships/hyperlink" Target="mailto:Pslindstrom@comcast.net" TargetMode="External"/><Relationship Id="rId27" Type="http://schemas.openxmlformats.org/officeDocument/2006/relationships/hyperlink" Target="mailto:Peter@valentims.com" TargetMode="External"/><Relationship Id="rId30" Type="http://schemas.openxmlformats.org/officeDocument/2006/relationships/hyperlink" Target="mailto:Mggibbs78@yahoo.com" TargetMode="External"/><Relationship Id="rId35" Type="http://schemas.openxmlformats.org/officeDocument/2006/relationships/hyperlink" Target="mailto:lucas.kanavati@traditionllc.com" TargetMode="External"/><Relationship Id="rId43" Type="http://schemas.openxmlformats.org/officeDocument/2006/relationships/hyperlink" Target="mailto:jake.enebak@traditionllc.com" TargetMode="External"/><Relationship Id="rId48" Type="http://schemas.openxmlformats.org/officeDocument/2006/relationships/hyperlink" Target="mailto:david.lindberg@rollouts.com" TargetMode="External"/><Relationship Id="rId56" Type="http://schemas.openxmlformats.org/officeDocument/2006/relationships/hyperlink" Target="mailto:Robert.Dianovsky@wrigley.com" TargetMode="External"/><Relationship Id="rId8" Type="http://schemas.openxmlformats.org/officeDocument/2006/relationships/hyperlink" Target="mailto:Tom.Buslee@traditionllc.com" TargetMode="External"/><Relationship Id="rId51" Type="http://schemas.openxmlformats.org/officeDocument/2006/relationships/hyperlink" Target="mailto:Craig.Johnson@lfg.com" TargetMode="External"/><Relationship Id="rId3" Type="http://schemas.openxmlformats.org/officeDocument/2006/relationships/hyperlink" Target="mailto:Williams.ts@comcast.net" TargetMode="External"/><Relationship Id="rId12" Type="http://schemas.openxmlformats.org/officeDocument/2006/relationships/hyperlink" Target="mailto:Stephen.Johnson@rollouts.com" TargetMode="External"/><Relationship Id="rId17" Type="http://schemas.openxmlformats.org/officeDocument/2006/relationships/hyperlink" Target="mailto:prathmanner@nexuspointmortgage.com" TargetMode="External"/><Relationship Id="rId25" Type="http://schemas.openxmlformats.org/officeDocument/2006/relationships/hyperlink" Target="mailto:russ@2ndswing.com" TargetMode="External"/><Relationship Id="rId33" Type="http://schemas.openxmlformats.org/officeDocument/2006/relationships/hyperlink" Target="mailto:Mark.Wientjes@dell.com" TargetMode="External"/><Relationship Id="rId38" Type="http://schemas.openxmlformats.org/officeDocument/2006/relationships/hyperlink" Target="mailto:Jason@norfas.com" TargetMode="External"/><Relationship Id="rId46" Type="http://schemas.openxmlformats.org/officeDocument/2006/relationships/hyperlink" Target="mailto:Eric.Lien@genmills.com" TargetMode="External"/><Relationship Id="rId59" Type="http://schemas.openxmlformats.org/officeDocument/2006/relationships/hyperlink" Target="mailto:david_valento@dell.com" TargetMode="External"/><Relationship Id="rId20" Type="http://schemas.openxmlformats.org/officeDocument/2006/relationships/hyperlink" Target="mailto:Peterkraker@netscape.net" TargetMode="External"/><Relationship Id="rId41" Type="http://schemas.openxmlformats.org/officeDocument/2006/relationships/hyperlink" Target="mailto:Mawillson@mchsi.com" TargetMode="External"/><Relationship Id="rId54" Type="http://schemas.openxmlformats.org/officeDocument/2006/relationships/hyperlink" Target="mailto:Bphaugen@ao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Tyler.bauman@gmail.com" TargetMode="External"/><Relationship Id="rId6" Type="http://schemas.openxmlformats.org/officeDocument/2006/relationships/hyperlink" Target="mailto:Tnast@traditionllc.com" TargetMode="External"/><Relationship Id="rId15" Type="http://schemas.openxmlformats.org/officeDocument/2006/relationships/hyperlink" Target="mailto:rickwegwerth@qwestoffice.net" TargetMode="External"/><Relationship Id="rId23" Type="http://schemas.openxmlformats.org/officeDocument/2006/relationships/hyperlink" Target="mailto:Pslindstrom@comcast.net" TargetMode="External"/><Relationship Id="rId28" Type="http://schemas.openxmlformats.org/officeDocument/2006/relationships/hyperlink" Target="mailto:Mike.Kraemer@mgkcompanies.com" TargetMode="External"/><Relationship Id="rId36" Type="http://schemas.openxmlformats.org/officeDocument/2006/relationships/hyperlink" Target="mailto:Anditerry1@yahoo.com" TargetMode="External"/><Relationship Id="rId49" Type="http://schemas.openxmlformats.org/officeDocument/2006/relationships/hyperlink" Target="mailto:Sstanley@mucr.com" TargetMode="External"/><Relationship Id="rId57" Type="http://schemas.openxmlformats.org/officeDocument/2006/relationships/hyperlink" Target="mailto:Chieflit@aol.com" TargetMode="External"/><Relationship Id="rId10" Type="http://schemas.openxmlformats.org/officeDocument/2006/relationships/hyperlink" Target="mailto:Twensmann@wres-llc.com" TargetMode="External"/><Relationship Id="rId31" Type="http://schemas.openxmlformats.org/officeDocument/2006/relationships/hyperlink" Target="mailto:buckshawholdings@gmail.com" TargetMode="External"/><Relationship Id="rId44" Type="http://schemas.openxmlformats.org/officeDocument/2006/relationships/hyperlink" Target="mailto:jasond@traditionllc.com" TargetMode="External"/><Relationship Id="rId52" Type="http://schemas.openxmlformats.org/officeDocument/2006/relationships/hyperlink" Target="mailto:Craig.Johnson@lfg.com" TargetMode="External"/><Relationship Id="rId60" Type="http://schemas.openxmlformats.org/officeDocument/2006/relationships/hyperlink" Target="mailto:Mike.Kraemer@mgkcompanies.com" TargetMode="External"/><Relationship Id="rId4" Type="http://schemas.openxmlformats.org/officeDocument/2006/relationships/hyperlink" Target="mailto:Perrault@aol.com" TargetMode="External"/><Relationship Id="rId9" Type="http://schemas.openxmlformats.org/officeDocument/2006/relationships/hyperlink" Target="mailto:Twensmann@wres-ll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  <pageSetUpPr fitToPage="1"/>
  </sheetPr>
  <dimension ref="A1:AB62"/>
  <sheetViews>
    <sheetView tabSelected="1" workbookViewId="0">
      <pane xSplit="1" ySplit="1" topLeftCell="D23" activePane="bottomRight" state="frozen"/>
      <selection pane="topRight" activeCell="B1" sqref="B1"/>
      <selection pane="bottomLeft" activeCell="A2" sqref="A2"/>
      <selection pane="bottomRight" activeCell="K37" sqref="K37:K62"/>
    </sheetView>
  </sheetViews>
  <sheetFormatPr defaultColWidth="9.125" defaultRowHeight="10.9" x14ac:dyDescent="0.2"/>
  <cols>
    <col min="1" max="1" width="16" style="7" bestFit="1" customWidth="1"/>
    <col min="2" max="2" width="29.125" style="67" hidden="1" customWidth="1"/>
    <col min="3" max="3" width="12.625" style="67" hidden="1" customWidth="1"/>
    <col min="4" max="4" width="12.875" style="87" bestFit="1" customWidth="1"/>
    <col min="5" max="5" width="13.875" style="62" bestFit="1" customWidth="1"/>
    <col min="6" max="6" width="11.125" style="74" bestFit="1" customWidth="1"/>
    <col min="7" max="7" width="13.875" style="62" bestFit="1" customWidth="1"/>
    <col min="8" max="8" width="11.125" style="68" bestFit="1" customWidth="1"/>
    <col min="9" max="9" width="15" style="62" bestFit="1" customWidth="1"/>
    <col min="10" max="10" width="11" style="68" bestFit="1" customWidth="1"/>
    <col min="11" max="11" width="12.875" style="62" bestFit="1" customWidth="1"/>
    <col min="12" max="12" width="11" style="68" bestFit="1" customWidth="1"/>
    <col min="13" max="13" width="12.375" style="62" bestFit="1" customWidth="1"/>
    <col min="14" max="14" width="12" style="68" bestFit="1" customWidth="1"/>
    <col min="15" max="15" width="13.125" style="62" bestFit="1" customWidth="1"/>
    <col min="16" max="16" width="11.125" style="68" bestFit="1" customWidth="1"/>
    <col min="17" max="17" width="13.625" style="62" bestFit="1" customWidth="1"/>
    <col min="18" max="18" width="11" style="68" bestFit="1" customWidth="1"/>
    <col min="19" max="19" width="12.375" style="62" bestFit="1" customWidth="1"/>
    <col min="20" max="20" width="11" style="68" bestFit="1" customWidth="1"/>
    <col min="21" max="21" width="11.5" style="62" bestFit="1" customWidth="1"/>
    <col min="22" max="22" width="10.875" style="68" bestFit="1" customWidth="1"/>
    <col min="23" max="23" width="11.875" style="62" bestFit="1" customWidth="1"/>
    <col min="24" max="24" width="10.875" style="68" bestFit="1" customWidth="1"/>
    <col min="25" max="25" width="11.125" style="62" bestFit="1" customWidth="1"/>
    <col min="26" max="26" width="10.875" style="68" bestFit="1" customWidth="1"/>
    <col min="27" max="27" width="11" style="62" bestFit="1" customWidth="1"/>
    <col min="28" max="28" width="10.875" style="68" bestFit="1" customWidth="1"/>
    <col min="29" max="16384" width="9.125" style="62"/>
  </cols>
  <sheetData>
    <row r="1" spans="1:28" s="59" customFormat="1" ht="11.25" customHeight="1" thickBot="1" x14ac:dyDescent="0.25">
      <c r="A1" s="12" t="s">
        <v>130</v>
      </c>
      <c r="B1" s="57" t="s">
        <v>70</v>
      </c>
      <c r="C1" s="58" t="s">
        <v>71</v>
      </c>
      <c r="D1" s="83" t="s">
        <v>18</v>
      </c>
      <c r="E1" s="75" t="s">
        <v>3</v>
      </c>
      <c r="F1" s="76" t="s">
        <v>2</v>
      </c>
      <c r="G1" s="77" t="s">
        <v>4</v>
      </c>
      <c r="H1" s="78" t="s">
        <v>5</v>
      </c>
      <c r="I1" s="77" t="s">
        <v>17</v>
      </c>
      <c r="J1" s="78" t="s">
        <v>6</v>
      </c>
      <c r="K1" s="75" t="s">
        <v>16</v>
      </c>
      <c r="L1" s="78" t="s">
        <v>7</v>
      </c>
      <c r="M1" s="75" t="s">
        <v>15</v>
      </c>
      <c r="N1" s="78" t="s">
        <v>8</v>
      </c>
      <c r="O1" s="75" t="s">
        <v>14</v>
      </c>
      <c r="P1" s="78" t="s">
        <v>9</v>
      </c>
      <c r="Q1" s="75" t="s">
        <v>11</v>
      </c>
      <c r="R1" s="78" t="s">
        <v>13</v>
      </c>
      <c r="S1" s="75" t="s">
        <v>10</v>
      </c>
      <c r="T1" s="78" t="s">
        <v>12</v>
      </c>
      <c r="U1" s="75" t="s">
        <v>19</v>
      </c>
      <c r="V1" s="78" t="s">
        <v>20</v>
      </c>
      <c r="W1" s="75" t="s">
        <v>23</v>
      </c>
      <c r="X1" s="79" t="s">
        <v>21</v>
      </c>
      <c r="Y1" s="75" t="s">
        <v>24</v>
      </c>
      <c r="Z1" s="78" t="s">
        <v>22</v>
      </c>
      <c r="AA1" s="75" t="s">
        <v>191</v>
      </c>
      <c r="AB1" s="78" t="s">
        <v>192</v>
      </c>
    </row>
    <row r="2" spans="1:28" x14ac:dyDescent="0.2">
      <c r="A2" s="8" t="s">
        <v>232</v>
      </c>
      <c r="B2" s="60" t="s">
        <v>233</v>
      </c>
      <c r="C2" s="61" t="s">
        <v>73</v>
      </c>
      <c r="D2" s="84">
        <f t="shared" ref="D2:D33" si="0">SUM(F2)+H2+J2+L2+N2+P2+R2+T2+V2+X2+Z2+AB2</f>
        <v>2056800</v>
      </c>
      <c r="E2" s="80" t="s">
        <v>88</v>
      </c>
      <c r="F2" s="81">
        <v>131250</v>
      </c>
      <c r="G2" s="80" t="s">
        <v>80</v>
      </c>
      <c r="H2" s="81">
        <v>300000</v>
      </c>
      <c r="I2" s="80" t="s">
        <v>98</v>
      </c>
      <c r="J2" s="81"/>
      <c r="K2" s="80" t="s">
        <v>165</v>
      </c>
      <c r="L2" s="81">
        <v>27750</v>
      </c>
      <c r="M2" s="80" t="s">
        <v>212</v>
      </c>
      <c r="N2" s="81">
        <v>1350000</v>
      </c>
      <c r="O2" s="80" t="s">
        <v>96</v>
      </c>
      <c r="P2" s="81">
        <v>71400</v>
      </c>
      <c r="Q2" s="80" t="s">
        <v>222</v>
      </c>
      <c r="R2" s="81">
        <v>71400</v>
      </c>
      <c r="S2" s="80" t="s">
        <v>139</v>
      </c>
      <c r="T2" s="81">
        <v>105000</v>
      </c>
      <c r="U2" s="80" t="s">
        <v>101</v>
      </c>
      <c r="V2" s="81"/>
      <c r="W2" s="80" t="s">
        <v>119</v>
      </c>
      <c r="X2" s="81"/>
      <c r="Y2" s="80" t="s">
        <v>197</v>
      </c>
      <c r="Z2" s="81"/>
      <c r="AA2" s="80" t="s">
        <v>198</v>
      </c>
      <c r="AB2" s="81"/>
    </row>
    <row r="3" spans="1:28" x14ac:dyDescent="0.2">
      <c r="A3" s="9" t="s">
        <v>158</v>
      </c>
      <c r="B3" s="66" t="s">
        <v>159</v>
      </c>
      <c r="C3" s="64" t="s">
        <v>163</v>
      </c>
      <c r="D3" s="85">
        <f t="shared" si="0"/>
        <v>1896275</v>
      </c>
      <c r="E3" s="69" t="s">
        <v>88</v>
      </c>
      <c r="F3" s="72">
        <v>131250</v>
      </c>
      <c r="G3" s="69" t="s">
        <v>106</v>
      </c>
      <c r="H3" s="72">
        <v>38625</v>
      </c>
      <c r="I3" s="69" t="s">
        <v>84</v>
      </c>
      <c r="J3" s="72"/>
      <c r="K3" s="69" t="s">
        <v>211</v>
      </c>
      <c r="L3" s="72">
        <v>150000</v>
      </c>
      <c r="M3" s="69" t="s">
        <v>212</v>
      </c>
      <c r="N3" s="72">
        <v>1350000</v>
      </c>
      <c r="O3" s="69" t="s">
        <v>96</v>
      </c>
      <c r="P3" s="72">
        <v>71400</v>
      </c>
      <c r="Q3" s="69" t="s">
        <v>202</v>
      </c>
      <c r="R3" s="72"/>
      <c r="S3" s="69" t="s">
        <v>139</v>
      </c>
      <c r="T3" s="72">
        <v>105000</v>
      </c>
      <c r="U3" s="69" t="s">
        <v>101</v>
      </c>
      <c r="V3" s="72"/>
      <c r="W3" s="69" t="s">
        <v>78</v>
      </c>
      <c r="X3" s="72"/>
      <c r="Y3" s="69" t="s">
        <v>197</v>
      </c>
      <c r="Z3" s="72"/>
      <c r="AA3" s="69" t="s">
        <v>208</v>
      </c>
      <c r="AB3" s="72">
        <v>50000</v>
      </c>
    </row>
    <row r="4" spans="1:28" x14ac:dyDescent="0.2">
      <c r="A4" s="9" t="s">
        <v>209</v>
      </c>
      <c r="B4" s="66" t="s">
        <v>149</v>
      </c>
      <c r="C4" s="64" t="s">
        <v>73</v>
      </c>
      <c r="D4" s="85">
        <f t="shared" si="0"/>
        <v>1760025</v>
      </c>
      <c r="E4" s="70" t="s">
        <v>210</v>
      </c>
      <c r="F4" s="72"/>
      <c r="G4" s="69" t="s">
        <v>80</v>
      </c>
      <c r="H4" s="72">
        <v>300000</v>
      </c>
      <c r="I4" s="69" t="s">
        <v>84</v>
      </c>
      <c r="J4" s="72"/>
      <c r="K4" s="69" t="s">
        <v>211</v>
      </c>
      <c r="L4" s="72"/>
      <c r="M4" s="69" t="s">
        <v>212</v>
      </c>
      <c r="N4" s="72">
        <v>1350000</v>
      </c>
      <c r="O4" s="69" t="s">
        <v>213</v>
      </c>
      <c r="P4" s="72">
        <v>38625</v>
      </c>
      <c r="Q4" s="69" t="s">
        <v>214</v>
      </c>
      <c r="R4" s="72">
        <v>71400</v>
      </c>
      <c r="S4" s="69" t="s">
        <v>202</v>
      </c>
      <c r="T4" s="72"/>
      <c r="U4" s="69" t="s">
        <v>86</v>
      </c>
      <c r="V4" s="72"/>
      <c r="W4" s="69" t="s">
        <v>203</v>
      </c>
      <c r="X4" s="72"/>
      <c r="Y4" s="69" t="s">
        <v>204</v>
      </c>
      <c r="Z4" s="72"/>
      <c r="AA4" s="69" t="s">
        <v>208</v>
      </c>
      <c r="AB4" s="72"/>
    </row>
    <row r="5" spans="1:28" x14ac:dyDescent="0.2">
      <c r="A5" s="9" t="s">
        <v>275</v>
      </c>
      <c r="B5" s="66" t="s">
        <v>276</v>
      </c>
      <c r="C5" s="64" t="s">
        <v>270</v>
      </c>
      <c r="D5" s="85">
        <f t="shared" si="0"/>
        <v>1543426</v>
      </c>
      <c r="E5" s="69" t="s">
        <v>85</v>
      </c>
      <c r="F5" s="72">
        <v>242813</v>
      </c>
      <c r="G5" s="69"/>
      <c r="H5" s="72"/>
      <c r="I5" s="69" t="s">
        <v>122</v>
      </c>
      <c r="J5" s="72">
        <v>242813</v>
      </c>
      <c r="K5" s="69" t="s">
        <v>211</v>
      </c>
      <c r="L5" s="72">
        <v>150000</v>
      </c>
      <c r="M5" s="69" t="s">
        <v>96</v>
      </c>
      <c r="N5" s="72">
        <v>71400</v>
      </c>
      <c r="O5" s="69" t="s">
        <v>242</v>
      </c>
      <c r="P5" s="72">
        <v>660000</v>
      </c>
      <c r="Q5" s="69" t="s">
        <v>222</v>
      </c>
      <c r="R5" s="72">
        <v>71400</v>
      </c>
      <c r="S5" s="69" t="s">
        <v>139</v>
      </c>
      <c r="T5" s="72">
        <v>105000</v>
      </c>
      <c r="U5" s="69" t="s">
        <v>101</v>
      </c>
      <c r="V5" s="72"/>
      <c r="W5" s="69" t="s">
        <v>119</v>
      </c>
      <c r="X5" s="72"/>
      <c r="Y5" s="69" t="s">
        <v>207</v>
      </c>
      <c r="Z5" s="72"/>
      <c r="AA5" s="69" t="s">
        <v>197</v>
      </c>
      <c r="AB5" s="72"/>
    </row>
    <row r="6" spans="1:28" x14ac:dyDescent="0.2">
      <c r="A6" s="9" t="s">
        <v>73</v>
      </c>
      <c r="B6" s="66" t="s">
        <v>284</v>
      </c>
      <c r="C6" s="64" t="s">
        <v>73</v>
      </c>
      <c r="D6" s="85">
        <f t="shared" si="0"/>
        <v>1485038</v>
      </c>
      <c r="E6" s="69" t="s">
        <v>106</v>
      </c>
      <c r="F6" s="72">
        <v>38625</v>
      </c>
      <c r="G6" s="69" t="s">
        <v>80</v>
      </c>
      <c r="H6" s="72">
        <v>300000</v>
      </c>
      <c r="I6" s="69" t="s">
        <v>87</v>
      </c>
      <c r="J6" s="72">
        <v>46575</v>
      </c>
      <c r="K6" s="69" t="s">
        <v>285</v>
      </c>
      <c r="L6" s="72">
        <v>19200</v>
      </c>
      <c r="M6" s="69" t="s">
        <v>136</v>
      </c>
      <c r="N6" s="72">
        <v>242813</v>
      </c>
      <c r="O6" s="69" t="s">
        <v>242</v>
      </c>
      <c r="P6" s="72">
        <v>660000</v>
      </c>
      <c r="Q6" s="69" t="s">
        <v>114</v>
      </c>
      <c r="R6" s="72">
        <v>131250</v>
      </c>
      <c r="S6" s="69" t="s">
        <v>256</v>
      </c>
      <c r="T6" s="72">
        <v>46575</v>
      </c>
      <c r="U6" s="69" t="s">
        <v>101</v>
      </c>
      <c r="V6" s="72"/>
      <c r="W6" s="69" t="s">
        <v>86</v>
      </c>
      <c r="X6" s="72"/>
      <c r="Y6" s="69" t="s">
        <v>197</v>
      </c>
      <c r="Z6" s="72"/>
      <c r="AA6" s="69" t="s">
        <v>198</v>
      </c>
      <c r="AB6" s="72"/>
    </row>
    <row r="7" spans="1:28" x14ac:dyDescent="0.2">
      <c r="A7" s="9" t="s">
        <v>103</v>
      </c>
      <c r="B7" s="66" t="s">
        <v>263</v>
      </c>
      <c r="C7" s="64" t="s">
        <v>72</v>
      </c>
      <c r="D7" s="85">
        <f t="shared" si="0"/>
        <v>1150613</v>
      </c>
      <c r="E7" s="69" t="s">
        <v>85</v>
      </c>
      <c r="F7" s="72">
        <v>242813</v>
      </c>
      <c r="G7" s="69"/>
      <c r="H7" s="72"/>
      <c r="I7" s="69" t="s">
        <v>206</v>
      </c>
      <c r="J7" s="72"/>
      <c r="K7" s="69" t="s">
        <v>84</v>
      </c>
      <c r="L7" s="72"/>
      <c r="M7" s="69" t="s">
        <v>242</v>
      </c>
      <c r="N7" s="72">
        <v>660000</v>
      </c>
      <c r="O7" s="69" t="s">
        <v>201</v>
      </c>
      <c r="P7" s="72">
        <v>71400</v>
      </c>
      <c r="Q7" s="69" t="s">
        <v>222</v>
      </c>
      <c r="R7" s="72">
        <v>71400</v>
      </c>
      <c r="S7" s="69" t="s">
        <v>139</v>
      </c>
      <c r="T7" s="72">
        <v>105000</v>
      </c>
      <c r="U7" s="69" t="s">
        <v>101</v>
      </c>
      <c r="V7" s="72"/>
      <c r="W7" s="69" t="s">
        <v>203</v>
      </c>
      <c r="X7" s="72"/>
      <c r="Y7" s="69" t="s">
        <v>197</v>
      </c>
      <c r="Z7" s="72"/>
      <c r="AA7" s="69" t="s">
        <v>204</v>
      </c>
      <c r="AB7" s="72"/>
    </row>
    <row r="8" spans="1:28" x14ac:dyDescent="0.2">
      <c r="A8" s="9" t="s">
        <v>163</v>
      </c>
      <c r="B8" s="66" t="s">
        <v>164</v>
      </c>
      <c r="C8" s="64" t="s">
        <v>163</v>
      </c>
      <c r="D8" s="85">
        <f t="shared" si="0"/>
        <v>1118625</v>
      </c>
      <c r="E8" s="69" t="s">
        <v>88</v>
      </c>
      <c r="F8" s="72">
        <v>131250</v>
      </c>
      <c r="G8" s="69" t="s">
        <v>104</v>
      </c>
      <c r="H8" s="72">
        <v>33000</v>
      </c>
      <c r="I8" s="69" t="s">
        <v>90</v>
      </c>
      <c r="J8" s="72">
        <v>71400</v>
      </c>
      <c r="K8" s="69" t="s">
        <v>84</v>
      </c>
      <c r="L8" s="72"/>
      <c r="M8" s="69" t="s">
        <v>96</v>
      </c>
      <c r="N8" s="72">
        <v>71400</v>
      </c>
      <c r="O8" s="69" t="s">
        <v>242</v>
      </c>
      <c r="P8" s="72">
        <v>660000</v>
      </c>
      <c r="Q8" s="69" t="s">
        <v>256</v>
      </c>
      <c r="R8" s="72">
        <v>46575</v>
      </c>
      <c r="S8" s="69" t="s">
        <v>139</v>
      </c>
      <c r="T8" s="72">
        <v>105000</v>
      </c>
      <c r="U8" s="69" t="s">
        <v>101</v>
      </c>
      <c r="V8" s="72"/>
      <c r="W8" s="69" t="s">
        <v>78</v>
      </c>
      <c r="X8" s="72"/>
      <c r="Y8" s="69" t="s">
        <v>197</v>
      </c>
      <c r="Z8" s="72"/>
      <c r="AA8" s="69" t="s">
        <v>198</v>
      </c>
      <c r="AB8" s="72"/>
    </row>
    <row r="9" spans="1:28" x14ac:dyDescent="0.2">
      <c r="A9" s="9" t="s">
        <v>0</v>
      </c>
      <c r="B9" s="66" t="s">
        <v>255</v>
      </c>
      <c r="C9" s="64" t="s">
        <v>72</v>
      </c>
      <c r="D9" s="85">
        <f t="shared" si="0"/>
        <v>1115300</v>
      </c>
      <c r="E9" s="69" t="s">
        <v>88</v>
      </c>
      <c r="F9" s="72">
        <v>131250</v>
      </c>
      <c r="G9" s="69" t="s">
        <v>210</v>
      </c>
      <c r="H9" s="72"/>
      <c r="I9" s="69" t="s">
        <v>111</v>
      </c>
      <c r="J9" s="72">
        <v>71400</v>
      </c>
      <c r="K9" s="69" t="s">
        <v>305</v>
      </c>
      <c r="L9" s="72">
        <v>660000</v>
      </c>
      <c r="M9" s="69" t="s">
        <v>96</v>
      </c>
      <c r="N9" s="72">
        <v>71400</v>
      </c>
      <c r="O9" s="69" t="s">
        <v>307</v>
      </c>
      <c r="P9" s="72"/>
      <c r="Q9" s="69" t="s">
        <v>114</v>
      </c>
      <c r="R9" s="72">
        <v>131250</v>
      </c>
      <c r="S9" s="69" t="s">
        <v>138</v>
      </c>
      <c r="T9" s="72"/>
      <c r="U9" s="69" t="s">
        <v>101</v>
      </c>
      <c r="V9" s="72"/>
      <c r="W9" s="69" t="s">
        <v>203</v>
      </c>
      <c r="X9" s="72"/>
      <c r="Y9" s="69" t="s">
        <v>197</v>
      </c>
      <c r="Z9" s="72"/>
      <c r="AA9" s="69" t="s">
        <v>208</v>
      </c>
      <c r="AB9" s="72">
        <v>50000</v>
      </c>
    </row>
    <row r="10" spans="1:28" x14ac:dyDescent="0.2">
      <c r="A10" s="9" t="s">
        <v>161</v>
      </c>
      <c r="B10" s="66" t="s">
        <v>162</v>
      </c>
      <c r="C10" s="64" t="s">
        <v>73</v>
      </c>
      <c r="D10" s="85">
        <f t="shared" si="0"/>
        <v>1080950</v>
      </c>
      <c r="E10" s="69" t="s">
        <v>88</v>
      </c>
      <c r="F10" s="72">
        <v>131250</v>
      </c>
      <c r="G10" s="69" t="s">
        <v>74</v>
      </c>
      <c r="H10" s="72">
        <v>187500</v>
      </c>
      <c r="I10" s="69" t="s">
        <v>84</v>
      </c>
      <c r="J10" s="72"/>
      <c r="K10" s="69" t="s">
        <v>285</v>
      </c>
      <c r="L10" s="72">
        <v>19200</v>
      </c>
      <c r="M10" s="69" t="s">
        <v>89</v>
      </c>
      <c r="N10" s="72">
        <v>33000</v>
      </c>
      <c r="O10" s="69" t="s">
        <v>242</v>
      </c>
      <c r="P10" s="72">
        <v>660000</v>
      </c>
      <c r="Q10" s="69" t="s">
        <v>135</v>
      </c>
      <c r="R10" s="72"/>
      <c r="S10" s="69" t="s">
        <v>217</v>
      </c>
      <c r="T10" s="72"/>
      <c r="U10" s="69" t="s">
        <v>101</v>
      </c>
      <c r="V10" s="72"/>
      <c r="W10" s="69" t="s">
        <v>119</v>
      </c>
      <c r="X10" s="72"/>
      <c r="Y10" s="69" t="s">
        <v>207</v>
      </c>
      <c r="Z10" s="72"/>
      <c r="AA10" s="69" t="s">
        <v>208</v>
      </c>
      <c r="AB10" s="72">
        <v>50000</v>
      </c>
    </row>
    <row r="11" spans="1:28" x14ac:dyDescent="0.2">
      <c r="A11" s="9" t="s">
        <v>154</v>
      </c>
      <c r="B11" s="66" t="s">
        <v>239</v>
      </c>
      <c r="C11" s="64" t="s">
        <v>238</v>
      </c>
      <c r="D11" s="85">
        <f t="shared" si="0"/>
        <v>1078838</v>
      </c>
      <c r="E11" s="69" t="s">
        <v>106</v>
      </c>
      <c r="F11" s="72">
        <v>38625</v>
      </c>
      <c r="G11" s="69" t="s">
        <v>210</v>
      </c>
      <c r="H11" s="72"/>
      <c r="I11" s="69" t="s">
        <v>92</v>
      </c>
      <c r="J11" s="72">
        <v>33000</v>
      </c>
      <c r="K11" s="69" t="s">
        <v>122</v>
      </c>
      <c r="L11" s="72">
        <v>242813</v>
      </c>
      <c r="M11" s="69" t="s">
        <v>242</v>
      </c>
      <c r="N11" s="72">
        <v>660000</v>
      </c>
      <c r="O11" s="69" t="s">
        <v>77</v>
      </c>
      <c r="P11" s="72">
        <v>33000</v>
      </c>
      <c r="Q11" s="69" t="s">
        <v>214</v>
      </c>
      <c r="R11" s="72">
        <v>71400</v>
      </c>
      <c r="S11" s="69" t="s">
        <v>144</v>
      </c>
      <c r="T11" s="72"/>
      <c r="U11" s="69" t="s">
        <v>101</v>
      </c>
      <c r="V11" s="72"/>
      <c r="W11" s="69" t="s">
        <v>203</v>
      </c>
      <c r="X11" s="72"/>
      <c r="Y11" s="69" t="s">
        <v>197</v>
      </c>
      <c r="Z11" s="72"/>
      <c r="AA11" s="69" t="s">
        <v>198</v>
      </c>
      <c r="AB11" s="72"/>
    </row>
    <row r="12" spans="1:28" x14ac:dyDescent="0.2">
      <c r="A12" s="9" t="s">
        <v>258</v>
      </c>
      <c r="B12" s="66" t="s">
        <v>257</v>
      </c>
      <c r="C12" s="64" t="s">
        <v>73</v>
      </c>
      <c r="D12" s="85">
        <f t="shared" si="0"/>
        <v>1070788</v>
      </c>
      <c r="E12" s="69" t="s">
        <v>85</v>
      </c>
      <c r="F12" s="72">
        <v>242813</v>
      </c>
      <c r="G12" s="69"/>
      <c r="H12" s="72"/>
      <c r="I12" s="69" t="s">
        <v>87</v>
      </c>
      <c r="J12" s="72">
        <v>46575</v>
      </c>
      <c r="K12" s="69" t="s">
        <v>98</v>
      </c>
      <c r="L12" s="72"/>
      <c r="M12" s="69" t="s">
        <v>96</v>
      </c>
      <c r="N12" s="72">
        <v>71400</v>
      </c>
      <c r="O12" s="69" t="s">
        <v>242</v>
      </c>
      <c r="P12" s="72">
        <v>660000</v>
      </c>
      <c r="Q12" s="69" t="s">
        <v>202</v>
      </c>
      <c r="R12" s="72"/>
      <c r="S12" s="69" t="s">
        <v>135</v>
      </c>
      <c r="T12" s="72"/>
      <c r="U12" s="69" t="s">
        <v>101</v>
      </c>
      <c r="V12" s="72"/>
      <c r="W12" s="69" t="s">
        <v>218</v>
      </c>
      <c r="X12" s="72"/>
      <c r="Y12" s="69" t="s">
        <v>204</v>
      </c>
      <c r="Z12" s="72"/>
      <c r="AA12" s="69" t="s">
        <v>208</v>
      </c>
      <c r="AB12" s="72">
        <v>50000</v>
      </c>
    </row>
    <row r="13" spans="1:28" x14ac:dyDescent="0.2">
      <c r="A13" s="9" t="s">
        <v>291</v>
      </c>
      <c r="B13" s="66" t="s">
        <v>292</v>
      </c>
      <c r="C13" s="64" t="s">
        <v>73</v>
      </c>
      <c r="D13" s="85">
        <f t="shared" si="0"/>
        <v>1059113</v>
      </c>
      <c r="E13" s="69" t="s">
        <v>88</v>
      </c>
      <c r="F13" s="72">
        <v>131250</v>
      </c>
      <c r="G13" s="69" t="s">
        <v>80</v>
      </c>
      <c r="H13" s="72">
        <v>300000</v>
      </c>
      <c r="I13" s="69" t="s">
        <v>90</v>
      </c>
      <c r="J13" s="72">
        <v>71400</v>
      </c>
      <c r="K13" s="69" t="s">
        <v>87</v>
      </c>
      <c r="L13" s="72">
        <v>46575</v>
      </c>
      <c r="M13" s="69" t="s">
        <v>134</v>
      </c>
      <c r="N13" s="72">
        <v>187500</v>
      </c>
      <c r="O13" s="69" t="s">
        <v>77</v>
      </c>
      <c r="P13" s="72">
        <v>33000</v>
      </c>
      <c r="Q13" s="69" t="s">
        <v>293</v>
      </c>
      <c r="R13" s="72">
        <v>242813</v>
      </c>
      <c r="S13" s="69" t="s">
        <v>256</v>
      </c>
      <c r="T13" s="72">
        <v>46575</v>
      </c>
      <c r="U13" s="69" t="s">
        <v>101</v>
      </c>
      <c r="V13" s="72"/>
      <c r="W13" s="69" t="s">
        <v>119</v>
      </c>
      <c r="X13" s="72"/>
      <c r="Y13" s="69" t="s">
        <v>207</v>
      </c>
      <c r="Z13" s="72"/>
      <c r="AA13" s="69" t="s">
        <v>197</v>
      </c>
      <c r="AB13" s="72"/>
    </row>
    <row r="14" spans="1:28" x14ac:dyDescent="0.2">
      <c r="A14" s="9" t="s">
        <v>115</v>
      </c>
      <c r="B14" s="66" t="s">
        <v>299</v>
      </c>
      <c r="C14" s="64" t="s">
        <v>73</v>
      </c>
      <c r="D14" s="85">
        <f t="shared" si="0"/>
        <v>1008150</v>
      </c>
      <c r="E14" s="69" t="s">
        <v>110</v>
      </c>
      <c r="F14" s="72"/>
      <c r="G14" s="69" t="s">
        <v>75</v>
      </c>
      <c r="H14" s="72">
        <v>46575</v>
      </c>
      <c r="I14" s="69" t="s">
        <v>87</v>
      </c>
      <c r="J14" s="72">
        <v>46575</v>
      </c>
      <c r="K14" s="69" t="s">
        <v>211</v>
      </c>
      <c r="L14" s="72">
        <v>150000</v>
      </c>
      <c r="M14" s="69" t="s">
        <v>242</v>
      </c>
      <c r="N14" s="72">
        <v>660000</v>
      </c>
      <c r="O14" s="69" t="s">
        <v>143</v>
      </c>
      <c r="P14" s="72"/>
      <c r="Q14" s="69" t="s">
        <v>300</v>
      </c>
      <c r="R14" s="72"/>
      <c r="S14" s="69" t="s">
        <v>139</v>
      </c>
      <c r="T14" s="72">
        <v>105000</v>
      </c>
      <c r="U14" s="69" t="s">
        <v>101</v>
      </c>
      <c r="V14" s="72"/>
      <c r="W14" s="69" t="s">
        <v>203</v>
      </c>
      <c r="X14" s="72"/>
      <c r="Y14" s="69" t="s">
        <v>197</v>
      </c>
      <c r="Z14" s="72"/>
      <c r="AA14" s="69" t="s">
        <v>204</v>
      </c>
      <c r="AB14" s="72"/>
    </row>
    <row r="15" spans="1:28" x14ac:dyDescent="0.2">
      <c r="A15" s="9" t="s">
        <v>1</v>
      </c>
      <c r="B15" s="66" t="s">
        <v>255</v>
      </c>
      <c r="C15" s="64" t="s">
        <v>72</v>
      </c>
      <c r="D15" s="85">
        <f t="shared" si="0"/>
        <v>999313</v>
      </c>
      <c r="E15" s="69" t="s">
        <v>88</v>
      </c>
      <c r="F15" s="72">
        <v>131250</v>
      </c>
      <c r="G15" s="69" t="s">
        <v>110</v>
      </c>
      <c r="H15" s="72"/>
      <c r="I15" s="69" t="s">
        <v>122</v>
      </c>
      <c r="J15" s="72">
        <v>242813</v>
      </c>
      <c r="K15" s="69" t="s">
        <v>165</v>
      </c>
      <c r="L15" s="72">
        <v>27750</v>
      </c>
      <c r="M15" s="69" t="s">
        <v>134</v>
      </c>
      <c r="N15" s="72">
        <v>187500</v>
      </c>
      <c r="O15" s="69" t="s">
        <v>99</v>
      </c>
      <c r="P15" s="72">
        <v>360000</v>
      </c>
      <c r="Q15" s="69" t="s">
        <v>135</v>
      </c>
      <c r="R15" s="72"/>
      <c r="S15" s="69" t="s">
        <v>265</v>
      </c>
      <c r="T15" s="72"/>
      <c r="U15" s="69" t="s">
        <v>101</v>
      </c>
      <c r="V15" s="72"/>
      <c r="W15" s="69" t="s">
        <v>203</v>
      </c>
      <c r="X15" s="72"/>
      <c r="Y15" s="69" t="s">
        <v>197</v>
      </c>
      <c r="Z15" s="72"/>
      <c r="AA15" s="69" t="s">
        <v>208</v>
      </c>
      <c r="AB15" s="72">
        <v>50000</v>
      </c>
    </row>
    <row r="16" spans="1:28" x14ac:dyDescent="0.2">
      <c r="A16" s="9" t="s">
        <v>282</v>
      </c>
      <c r="B16" s="66" t="s">
        <v>279</v>
      </c>
      <c r="C16" s="64" t="s">
        <v>280</v>
      </c>
      <c r="D16" s="85">
        <f t="shared" si="0"/>
        <v>968338</v>
      </c>
      <c r="E16" s="69" t="s">
        <v>106</v>
      </c>
      <c r="F16" s="72">
        <v>38625</v>
      </c>
      <c r="G16" s="69" t="s">
        <v>80</v>
      </c>
      <c r="H16" s="72">
        <v>300000</v>
      </c>
      <c r="I16" s="69" t="s">
        <v>100</v>
      </c>
      <c r="J16" s="72">
        <v>116250</v>
      </c>
      <c r="K16" s="69" t="s">
        <v>122</v>
      </c>
      <c r="L16" s="72">
        <v>242813</v>
      </c>
      <c r="M16" s="69" t="s">
        <v>283</v>
      </c>
      <c r="N16" s="72">
        <v>33000</v>
      </c>
      <c r="O16" s="69" t="s">
        <v>93</v>
      </c>
      <c r="P16" s="72">
        <v>71400</v>
      </c>
      <c r="Q16" s="69" t="s">
        <v>240</v>
      </c>
      <c r="R16" s="72">
        <v>116250</v>
      </c>
      <c r="S16" s="69" t="s">
        <v>196</v>
      </c>
      <c r="T16" s="72"/>
      <c r="U16" s="69" t="s">
        <v>78</v>
      </c>
      <c r="V16" s="72"/>
      <c r="W16" s="69" t="s">
        <v>119</v>
      </c>
      <c r="X16" s="72"/>
      <c r="Y16" s="69" t="s">
        <v>197</v>
      </c>
      <c r="Z16" s="72"/>
      <c r="AA16" s="69" t="s">
        <v>208</v>
      </c>
      <c r="AB16" s="72">
        <v>50000</v>
      </c>
    </row>
    <row r="17" spans="1:28" x14ac:dyDescent="0.2">
      <c r="A17" s="9" t="s">
        <v>267</v>
      </c>
      <c r="B17" s="66" t="s">
        <v>268</v>
      </c>
      <c r="C17" s="64" t="s">
        <v>73</v>
      </c>
      <c r="D17" s="85">
        <f t="shared" si="0"/>
        <v>961738</v>
      </c>
      <c r="E17" s="69" t="s">
        <v>106</v>
      </c>
      <c r="F17" s="72">
        <v>38625</v>
      </c>
      <c r="G17" s="69" t="s">
        <v>80</v>
      </c>
      <c r="H17" s="72">
        <v>300000</v>
      </c>
      <c r="I17" s="69" t="s">
        <v>122</v>
      </c>
      <c r="J17" s="72">
        <v>242813</v>
      </c>
      <c r="K17" s="69" t="s">
        <v>84</v>
      </c>
      <c r="L17" s="72"/>
      <c r="M17" s="69" t="s">
        <v>134</v>
      </c>
      <c r="N17" s="72">
        <v>187500</v>
      </c>
      <c r="O17" s="69" t="s">
        <v>93</v>
      </c>
      <c r="P17" s="72">
        <v>71400</v>
      </c>
      <c r="Q17" s="69" t="s">
        <v>214</v>
      </c>
      <c r="R17" s="72">
        <v>71400</v>
      </c>
      <c r="S17" s="69" t="s">
        <v>135</v>
      </c>
      <c r="T17" s="72"/>
      <c r="U17" s="69" t="s">
        <v>101</v>
      </c>
      <c r="V17" s="72"/>
      <c r="W17" s="69" t="s">
        <v>203</v>
      </c>
      <c r="X17" s="72"/>
      <c r="Y17" s="69" t="s">
        <v>197</v>
      </c>
      <c r="Z17" s="72"/>
      <c r="AA17" s="69" t="s">
        <v>208</v>
      </c>
      <c r="AB17" s="72">
        <v>50000</v>
      </c>
    </row>
    <row r="18" spans="1:28" x14ac:dyDescent="0.2">
      <c r="A18" s="9" t="s">
        <v>151</v>
      </c>
      <c r="B18" s="66" t="s">
        <v>221</v>
      </c>
      <c r="C18" s="64" t="s">
        <v>73</v>
      </c>
      <c r="D18" s="85">
        <f t="shared" si="0"/>
        <v>899550</v>
      </c>
      <c r="E18" s="69" t="s">
        <v>88</v>
      </c>
      <c r="F18" s="72">
        <v>131250</v>
      </c>
      <c r="G18" s="69" t="s">
        <v>80</v>
      </c>
      <c r="H18" s="72">
        <v>300000</v>
      </c>
      <c r="I18" s="69" t="s">
        <v>92</v>
      </c>
      <c r="J18" s="72">
        <v>33000</v>
      </c>
      <c r="K18" s="69" t="s">
        <v>84</v>
      </c>
      <c r="L18" s="72"/>
      <c r="M18" s="69" t="s">
        <v>96</v>
      </c>
      <c r="N18" s="72">
        <v>71400</v>
      </c>
      <c r="O18" s="69" t="s">
        <v>141</v>
      </c>
      <c r="P18" s="72">
        <v>187500</v>
      </c>
      <c r="Q18" s="69" t="s">
        <v>222</v>
      </c>
      <c r="R18" s="72">
        <v>71400</v>
      </c>
      <c r="S18" s="69" t="s">
        <v>139</v>
      </c>
      <c r="T18" s="72">
        <v>105000</v>
      </c>
      <c r="U18" s="69" t="s">
        <v>101</v>
      </c>
      <c r="V18" s="72"/>
      <c r="W18" s="69" t="s">
        <v>203</v>
      </c>
      <c r="X18" s="72"/>
      <c r="Y18" s="69" t="s">
        <v>207</v>
      </c>
      <c r="Z18" s="72"/>
      <c r="AA18" s="69" t="s">
        <v>197</v>
      </c>
      <c r="AB18" s="72"/>
    </row>
    <row r="19" spans="1:28" x14ac:dyDescent="0.2">
      <c r="A19" s="9" t="s">
        <v>273</v>
      </c>
      <c r="B19" s="66" t="s">
        <v>274</v>
      </c>
      <c r="C19" s="64" t="s">
        <v>270</v>
      </c>
      <c r="D19" s="85">
        <f t="shared" si="0"/>
        <v>874688</v>
      </c>
      <c r="E19" s="69" t="s">
        <v>85</v>
      </c>
      <c r="F19" s="72">
        <v>242813</v>
      </c>
      <c r="G19" s="69"/>
      <c r="H19" s="72"/>
      <c r="I19" s="69" t="s">
        <v>87</v>
      </c>
      <c r="J19" s="72">
        <v>46575</v>
      </c>
      <c r="K19" s="69" t="s">
        <v>211</v>
      </c>
      <c r="L19" s="72">
        <v>150000</v>
      </c>
      <c r="M19" s="69" t="s">
        <v>96</v>
      </c>
      <c r="N19" s="72">
        <v>71400</v>
      </c>
      <c r="O19" s="69" t="s">
        <v>134</v>
      </c>
      <c r="P19" s="72">
        <v>187500</v>
      </c>
      <c r="Q19" s="69" t="s">
        <v>222</v>
      </c>
      <c r="R19" s="72">
        <v>71400</v>
      </c>
      <c r="S19" s="69" t="s">
        <v>139</v>
      </c>
      <c r="T19" s="72">
        <v>105000</v>
      </c>
      <c r="U19" s="69" t="s">
        <v>101</v>
      </c>
      <c r="V19" s="72"/>
      <c r="W19" s="69" t="s">
        <v>203</v>
      </c>
      <c r="X19" s="72"/>
      <c r="Y19" s="69" t="s">
        <v>207</v>
      </c>
      <c r="Z19" s="72"/>
      <c r="AA19" s="69" t="s">
        <v>197</v>
      </c>
      <c r="AB19" s="72"/>
    </row>
    <row r="20" spans="1:28" x14ac:dyDescent="0.2">
      <c r="A20" s="9" t="s">
        <v>259</v>
      </c>
      <c r="B20" s="66" t="s">
        <v>257</v>
      </c>
      <c r="C20" s="64" t="s">
        <v>73</v>
      </c>
      <c r="D20" s="85">
        <f t="shared" si="0"/>
        <v>866850</v>
      </c>
      <c r="E20" s="69" t="s">
        <v>88</v>
      </c>
      <c r="F20" s="72">
        <v>131250</v>
      </c>
      <c r="G20" s="69" t="s">
        <v>80</v>
      </c>
      <c r="H20" s="72">
        <v>300000</v>
      </c>
      <c r="I20" s="69" t="s">
        <v>111</v>
      </c>
      <c r="J20" s="72">
        <v>71400</v>
      </c>
      <c r="K20" s="69" t="s">
        <v>211</v>
      </c>
      <c r="L20" s="72">
        <v>150000</v>
      </c>
      <c r="M20" s="69" t="s">
        <v>96</v>
      </c>
      <c r="N20" s="72">
        <v>71400</v>
      </c>
      <c r="O20" s="69" t="s">
        <v>201</v>
      </c>
      <c r="P20" s="72">
        <v>71400</v>
      </c>
      <c r="Q20" s="69" t="s">
        <v>222</v>
      </c>
      <c r="R20" s="72">
        <v>71400</v>
      </c>
      <c r="S20" s="69" t="s">
        <v>217</v>
      </c>
      <c r="T20" s="72"/>
      <c r="U20" s="69" t="s">
        <v>101</v>
      </c>
      <c r="V20" s="72"/>
      <c r="W20" s="69" t="s">
        <v>119</v>
      </c>
      <c r="X20" s="72"/>
      <c r="Y20" s="69" t="s">
        <v>207</v>
      </c>
      <c r="Z20" s="72"/>
      <c r="AA20" s="69" t="s">
        <v>198</v>
      </c>
      <c r="AB20" s="72"/>
    </row>
    <row r="21" spans="1:28" x14ac:dyDescent="0.2">
      <c r="A21" s="9" t="s">
        <v>287</v>
      </c>
      <c r="B21" s="66" t="s">
        <v>288</v>
      </c>
      <c r="C21" s="64" t="s">
        <v>73</v>
      </c>
      <c r="D21" s="85">
        <f t="shared" si="0"/>
        <v>823613</v>
      </c>
      <c r="E21" s="69" t="s">
        <v>210</v>
      </c>
      <c r="F21" s="72"/>
      <c r="G21" s="69" t="s">
        <v>80</v>
      </c>
      <c r="H21" s="72">
        <v>300000</v>
      </c>
      <c r="I21" s="69" t="s">
        <v>98</v>
      </c>
      <c r="J21" s="72"/>
      <c r="K21" s="69" t="s">
        <v>122</v>
      </c>
      <c r="L21" s="72">
        <v>242813</v>
      </c>
      <c r="M21" s="69" t="s">
        <v>96</v>
      </c>
      <c r="N21" s="72">
        <v>71400</v>
      </c>
      <c r="O21" s="69" t="s">
        <v>77</v>
      </c>
      <c r="P21" s="72">
        <v>33000</v>
      </c>
      <c r="Q21" s="69" t="s">
        <v>214</v>
      </c>
      <c r="R21" s="72">
        <v>71400</v>
      </c>
      <c r="S21" s="69" t="s">
        <v>139</v>
      </c>
      <c r="T21" s="72">
        <v>105000</v>
      </c>
      <c r="U21" s="69" t="s">
        <v>101</v>
      </c>
      <c r="V21" s="72"/>
      <c r="W21" s="69" t="s">
        <v>203</v>
      </c>
      <c r="X21" s="72"/>
      <c r="Y21" s="69" t="s">
        <v>204</v>
      </c>
      <c r="Z21" s="72"/>
      <c r="AA21" s="69" t="s">
        <v>198</v>
      </c>
      <c r="AB21" s="72"/>
    </row>
    <row r="22" spans="1:28" x14ac:dyDescent="0.2">
      <c r="A22" s="9" t="s">
        <v>230</v>
      </c>
      <c r="B22" s="66" t="s">
        <v>231</v>
      </c>
      <c r="C22" s="64" t="s">
        <v>73</v>
      </c>
      <c r="D22" s="85">
        <f t="shared" si="0"/>
        <v>807050</v>
      </c>
      <c r="E22" s="69" t="s">
        <v>75</v>
      </c>
      <c r="F22" s="72">
        <v>46575</v>
      </c>
      <c r="G22" s="69" t="s">
        <v>80</v>
      </c>
      <c r="H22" s="72">
        <v>300000</v>
      </c>
      <c r="I22" s="69" t="s">
        <v>87</v>
      </c>
      <c r="J22" s="72">
        <v>46575</v>
      </c>
      <c r="K22" s="69" t="s">
        <v>84</v>
      </c>
      <c r="L22" s="72"/>
      <c r="M22" s="69" t="s">
        <v>141</v>
      </c>
      <c r="N22" s="72">
        <v>187500</v>
      </c>
      <c r="O22" s="69" t="s">
        <v>201</v>
      </c>
      <c r="P22" s="72">
        <v>71400</v>
      </c>
      <c r="Q22" s="69" t="s">
        <v>135</v>
      </c>
      <c r="R22" s="72"/>
      <c r="S22" s="69" t="s">
        <v>139</v>
      </c>
      <c r="T22" s="72">
        <v>105000</v>
      </c>
      <c r="U22" s="69" t="s">
        <v>101</v>
      </c>
      <c r="V22" s="72"/>
      <c r="W22" s="69" t="s">
        <v>86</v>
      </c>
      <c r="X22" s="72"/>
      <c r="Y22" s="69" t="s">
        <v>197</v>
      </c>
      <c r="Z22" s="72"/>
      <c r="AA22" s="69" t="s">
        <v>208</v>
      </c>
      <c r="AB22" s="72">
        <v>50000</v>
      </c>
    </row>
    <row r="23" spans="1:28" x14ac:dyDescent="0.2">
      <c r="A23" s="9" t="s">
        <v>243</v>
      </c>
      <c r="B23" s="66" t="s">
        <v>244</v>
      </c>
      <c r="C23" s="64" t="s">
        <v>245</v>
      </c>
      <c r="D23" s="85">
        <f t="shared" si="0"/>
        <v>800313</v>
      </c>
      <c r="E23" s="69" t="s">
        <v>104</v>
      </c>
      <c r="F23" s="72">
        <v>33000</v>
      </c>
      <c r="G23" s="69" t="s">
        <v>80</v>
      </c>
      <c r="H23" s="72">
        <v>300000</v>
      </c>
      <c r="I23" s="69" t="s">
        <v>111</v>
      </c>
      <c r="J23" s="72">
        <v>71400</v>
      </c>
      <c r="K23" s="69" t="s">
        <v>216</v>
      </c>
      <c r="L23" s="72">
        <v>21850</v>
      </c>
      <c r="M23" s="69" t="s">
        <v>136</v>
      </c>
      <c r="N23" s="72">
        <v>242813</v>
      </c>
      <c r="O23" s="69" t="s">
        <v>246</v>
      </c>
      <c r="P23" s="72"/>
      <c r="Q23" s="69" t="s">
        <v>247</v>
      </c>
      <c r="R23" s="72"/>
      <c r="S23" s="69" t="s">
        <v>114</v>
      </c>
      <c r="T23" s="72">
        <v>131250</v>
      </c>
      <c r="U23" s="69" t="s">
        <v>101</v>
      </c>
      <c r="V23" s="72"/>
      <c r="W23" s="69" t="s">
        <v>248</v>
      </c>
      <c r="X23" s="72"/>
      <c r="Y23" s="69" t="s">
        <v>197</v>
      </c>
      <c r="Z23" s="72"/>
      <c r="AA23" s="69" t="s">
        <v>198</v>
      </c>
      <c r="AB23" s="72"/>
    </row>
    <row r="24" spans="1:28" x14ac:dyDescent="0.2">
      <c r="A24" s="9" t="s">
        <v>249</v>
      </c>
      <c r="B24" s="66" t="s">
        <v>250</v>
      </c>
      <c r="C24" s="64" t="s">
        <v>245</v>
      </c>
      <c r="D24" s="85">
        <f t="shared" si="0"/>
        <v>776851</v>
      </c>
      <c r="E24" s="69" t="s">
        <v>85</v>
      </c>
      <c r="F24" s="72">
        <v>242813</v>
      </c>
      <c r="G24" s="69"/>
      <c r="H24" s="72"/>
      <c r="I24" s="69" t="s">
        <v>87</v>
      </c>
      <c r="J24" s="72">
        <v>46575</v>
      </c>
      <c r="K24" s="69" t="s">
        <v>165</v>
      </c>
      <c r="L24" s="72">
        <v>27750</v>
      </c>
      <c r="M24" s="69" t="s">
        <v>136</v>
      </c>
      <c r="N24" s="72">
        <v>242813</v>
      </c>
      <c r="O24" s="69" t="s">
        <v>132</v>
      </c>
      <c r="P24" s="72">
        <v>29250</v>
      </c>
      <c r="Q24" s="69" t="s">
        <v>240</v>
      </c>
      <c r="R24" s="72">
        <v>116250</v>
      </c>
      <c r="S24" s="69" t="s">
        <v>222</v>
      </c>
      <c r="T24" s="72">
        <v>71400</v>
      </c>
      <c r="U24" s="69" t="s">
        <v>101</v>
      </c>
      <c r="V24" s="72"/>
      <c r="W24" s="69" t="s">
        <v>119</v>
      </c>
      <c r="X24" s="72"/>
      <c r="Y24" s="69" t="s">
        <v>197</v>
      </c>
      <c r="Z24" s="72"/>
      <c r="AA24" s="69" t="s">
        <v>204</v>
      </c>
      <c r="AB24" s="72"/>
    </row>
    <row r="25" spans="1:28" x14ac:dyDescent="0.2">
      <c r="A25" s="9" t="s">
        <v>157</v>
      </c>
      <c r="B25" s="66" t="s">
        <v>155</v>
      </c>
      <c r="C25" s="64" t="s">
        <v>238</v>
      </c>
      <c r="D25" s="85">
        <f t="shared" si="0"/>
        <v>753650</v>
      </c>
      <c r="E25" s="69" t="s">
        <v>104</v>
      </c>
      <c r="F25" s="72">
        <v>33000</v>
      </c>
      <c r="G25" s="69" t="s">
        <v>80</v>
      </c>
      <c r="H25" s="72">
        <v>300000</v>
      </c>
      <c r="I25" s="69" t="s">
        <v>92</v>
      </c>
      <c r="J25" s="72">
        <v>33000</v>
      </c>
      <c r="K25" s="69" t="s">
        <v>211</v>
      </c>
      <c r="L25" s="72">
        <v>150000</v>
      </c>
      <c r="M25" s="69" t="s">
        <v>131</v>
      </c>
      <c r="N25" s="72"/>
      <c r="O25" s="69" t="s">
        <v>93</v>
      </c>
      <c r="P25" s="72">
        <v>71400</v>
      </c>
      <c r="Q25" s="69" t="s">
        <v>240</v>
      </c>
      <c r="R25" s="72">
        <v>116250</v>
      </c>
      <c r="S25" s="69" t="s">
        <v>196</v>
      </c>
      <c r="T25" s="72"/>
      <c r="U25" s="69" t="s">
        <v>101</v>
      </c>
      <c r="V25" s="72"/>
      <c r="W25" s="69" t="s">
        <v>119</v>
      </c>
      <c r="X25" s="72"/>
      <c r="Y25" s="69" t="s">
        <v>197</v>
      </c>
      <c r="Z25" s="72"/>
      <c r="AA25" s="69" t="s">
        <v>208</v>
      </c>
      <c r="AB25" s="72">
        <v>50000</v>
      </c>
    </row>
    <row r="26" spans="1:28" x14ac:dyDescent="0.2">
      <c r="A26" s="9" t="s">
        <v>277</v>
      </c>
      <c r="B26" s="66" t="s">
        <v>278</v>
      </c>
      <c r="C26" s="64" t="s">
        <v>270</v>
      </c>
      <c r="D26" s="85">
        <f t="shared" si="0"/>
        <v>749513</v>
      </c>
      <c r="E26" s="69" t="s">
        <v>85</v>
      </c>
      <c r="F26" s="72">
        <v>242813</v>
      </c>
      <c r="G26" s="69"/>
      <c r="H26" s="72"/>
      <c r="I26" s="69" t="s">
        <v>111</v>
      </c>
      <c r="J26" s="72">
        <v>71400</v>
      </c>
      <c r="K26" s="69" t="s">
        <v>84</v>
      </c>
      <c r="L26" s="72"/>
      <c r="M26" s="69" t="s">
        <v>96</v>
      </c>
      <c r="N26" s="72">
        <v>71400</v>
      </c>
      <c r="O26" s="69" t="s">
        <v>141</v>
      </c>
      <c r="P26" s="72">
        <v>187500</v>
      </c>
      <c r="Q26" s="69" t="s">
        <v>222</v>
      </c>
      <c r="R26" s="72">
        <v>71400</v>
      </c>
      <c r="S26" s="69" t="s">
        <v>139</v>
      </c>
      <c r="T26" s="72">
        <v>105000</v>
      </c>
      <c r="U26" s="69" t="s">
        <v>101</v>
      </c>
      <c r="V26" s="72"/>
      <c r="W26" s="69" t="s">
        <v>203</v>
      </c>
      <c r="X26" s="72"/>
      <c r="Y26" s="69" t="s">
        <v>197</v>
      </c>
      <c r="Z26" s="72"/>
      <c r="AA26" s="69" t="s">
        <v>204</v>
      </c>
      <c r="AB26" s="72"/>
    </row>
    <row r="27" spans="1:28" x14ac:dyDescent="0.2">
      <c r="A27" s="9" t="s">
        <v>108</v>
      </c>
      <c r="B27" s="66" t="s">
        <v>269</v>
      </c>
      <c r="C27" s="64" t="s">
        <v>73</v>
      </c>
      <c r="D27" s="85">
        <f t="shared" si="0"/>
        <v>712013</v>
      </c>
      <c r="E27" s="69" t="s">
        <v>85</v>
      </c>
      <c r="F27" s="72">
        <v>242813</v>
      </c>
      <c r="G27" s="69"/>
      <c r="H27" s="72"/>
      <c r="I27" s="69" t="s">
        <v>84</v>
      </c>
      <c r="J27" s="72"/>
      <c r="K27" s="69" t="s">
        <v>211</v>
      </c>
      <c r="L27" s="72">
        <v>150000</v>
      </c>
      <c r="M27" s="69" t="s">
        <v>96</v>
      </c>
      <c r="N27" s="72">
        <v>71400</v>
      </c>
      <c r="O27" s="69" t="s">
        <v>201</v>
      </c>
      <c r="P27" s="72">
        <v>71400</v>
      </c>
      <c r="Q27" s="69" t="s">
        <v>222</v>
      </c>
      <c r="R27" s="72">
        <v>71400</v>
      </c>
      <c r="S27" s="69" t="s">
        <v>139</v>
      </c>
      <c r="T27" s="72">
        <v>105000</v>
      </c>
      <c r="U27" s="69" t="s">
        <v>101</v>
      </c>
      <c r="V27" s="72"/>
      <c r="W27" s="69" t="s">
        <v>203</v>
      </c>
      <c r="X27" s="72"/>
      <c r="Y27" s="69" t="s">
        <v>207</v>
      </c>
      <c r="Z27" s="72"/>
      <c r="AA27" s="69" t="s">
        <v>197</v>
      </c>
      <c r="AB27" s="72"/>
    </row>
    <row r="28" spans="1:28" x14ac:dyDescent="0.2">
      <c r="A28" s="9" t="s">
        <v>152</v>
      </c>
      <c r="B28" s="66" t="s">
        <v>221</v>
      </c>
      <c r="C28" s="64" t="s">
        <v>73</v>
      </c>
      <c r="D28" s="85">
        <f t="shared" si="0"/>
        <v>711113</v>
      </c>
      <c r="E28" s="69" t="s">
        <v>85</v>
      </c>
      <c r="F28" s="72">
        <v>242813</v>
      </c>
      <c r="G28" s="69"/>
      <c r="H28" s="72"/>
      <c r="I28" s="69" t="s">
        <v>92</v>
      </c>
      <c r="J28" s="72">
        <v>33000</v>
      </c>
      <c r="K28" s="69" t="s">
        <v>84</v>
      </c>
      <c r="L28" s="72"/>
      <c r="M28" s="69" t="s">
        <v>96</v>
      </c>
      <c r="N28" s="72">
        <v>71400</v>
      </c>
      <c r="O28" s="69" t="s">
        <v>141</v>
      </c>
      <c r="P28" s="72">
        <v>187500</v>
      </c>
      <c r="Q28" s="69" t="s">
        <v>222</v>
      </c>
      <c r="R28" s="72">
        <v>71400</v>
      </c>
      <c r="S28" s="69" t="s">
        <v>139</v>
      </c>
      <c r="T28" s="72">
        <v>105000</v>
      </c>
      <c r="U28" s="69" t="s">
        <v>101</v>
      </c>
      <c r="V28" s="72"/>
      <c r="W28" s="69" t="s">
        <v>203</v>
      </c>
      <c r="X28" s="72"/>
      <c r="Y28" s="69" t="s">
        <v>207</v>
      </c>
      <c r="Z28" s="72"/>
      <c r="AA28" s="69" t="s">
        <v>197</v>
      </c>
      <c r="AB28" s="72"/>
    </row>
    <row r="29" spans="1:28" x14ac:dyDescent="0.2">
      <c r="A29" s="11" t="s">
        <v>156</v>
      </c>
      <c r="B29" s="66" t="s">
        <v>155</v>
      </c>
      <c r="C29" s="65" t="s">
        <v>238</v>
      </c>
      <c r="D29" s="85">
        <f t="shared" si="0"/>
        <v>699963</v>
      </c>
      <c r="E29" s="69" t="s">
        <v>85</v>
      </c>
      <c r="F29" s="72">
        <v>242813</v>
      </c>
      <c r="G29" s="69"/>
      <c r="H29" s="72"/>
      <c r="I29" s="69" t="s">
        <v>98</v>
      </c>
      <c r="J29" s="72"/>
      <c r="K29" s="69" t="s">
        <v>216</v>
      </c>
      <c r="L29" s="72">
        <v>21850</v>
      </c>
      <c r="M29" s="69" t="s">
        <v>96</v>
      </c>
      <c r="N29" s="72">
        <v>71400</v>
      </c>
      <c r="O29" s="69" t="s">
        <v>141</v>
      </c>
      <c r="P29" s="72">
        <v>187500</v>
      </c>
      <c r="Q29" s="69" t="s">
        <v>222</v>
      </c>
      <c r="R29" s="72">
        <v>71400</v>
      </c>
      <c r="S29" s="69" t="s">
        <v>139</v>
      </c>
      <c r="T29" s="72">
        <v>105000</v>
      </c>
      <c r="U29" s="69" t="s">
        <v>101</v>
      </c>
      <c r="V29" s="72"/>
      <c r="W29" s="69" t="s">
        <v>203</v>
      </c>
      <c r="X29" s="72"/>
      <c r="Y29" s="69" t="s">
        <v>197</v>
      </c>
      <c r="Z29" s="72"/>
      <c r="AA29" s="69" t="s">
        <v>204</v>
      </c>
      <c r="AB29" s="72"/>
    </row>
    <row r="30" spans="1:28" x14ac:dyDescent="0.2">
      <c r="A30" s="9" t="s">
        <v>226</v>
      </c>
      <c r="B30" s="66" t="s">
        <v>227</v>
      </c>
      <c r="C30" s="64" t="s">
        <v>107</v>
      </c>
      <c r="D30" s="85">
        <f t="shared" si="0"/>
        <v>671863</v>
      </c>
      <c r="E30" s="69" t="s">
        <v>88</v>
      </c>
      <c r="F30" s="72">
        <v>131250</v>
      </c>
      <c r="G30" s="69" t="s">
        <v>210</v>
      </c>
      <c r="H30" s="72"/>
      <c r="I30" s="69" t="s">
        <v>98</v>
      </c>
      <c r="J30" s="72"/>
      <c r="K30" s="69" t="s">
        <v>122</v>
      </c>
      <c r="L30" s="72">
        <v>242813</v>
      </c>
      <c r="M30" s="69" t="s">
        <v>96</v>
      </c>
      <c r="N30" s="72">
        <v>71400</v>
      </c>
      <c r="O30" s="69" t="s">
        <v>93</v>
      </c>
      <c r="P30" s="72">
        <v>71400</v>
      </c>
      <c r="Q30" s="69" t="s">
        <v>138</v>
      </c>
      <c r="R30" s="72"/>
      <c r="S30" s="69" t="s">
        <v>139</v>
      </c>
      <c r="T30" s="72">
        <v>105000</v>
      </c>
      <c r="U30" s="69" t="s">
        <v>101</v>
      </c>
      <c r="V30" s="72"/>
      <c r="W30" s="69" t="s">
        <v>203</v>
      </c>
      <c r="X30" s="72"/>
      <c r="Y30" s="69" t="s">
        <v>207</v>
      </c>
      <c r="Z30" s="72"/>
      <c r="AA30" s="69" t="s">
        <v>208</v>
      </c>
      <c r="AB30" s="72">
        <v>50000</v>
      </c>
    </row>
    <row r="31" spans="1:28" x14ac:dyDescent="0.2">
      <c r="A31" s="9" t="s">
        <v>272</v>
      </c>
      <c r="B31" s="66" t="s">
        <v>271</v>
      </c>
      <c r="C31" s="64" t="s">
        <v>270</v>
      </c>
      <c r="D31" s="85">
        <f t="shared" si="0"/>
        <v>649500</v>
      </c>
      <c r="E31" s="69" t="s">
        <v>210</v>
      </c>
      <c r="F31" s="72"/>
      <c r="G31" s="69" t="s">
        <v>80</v>
      </c>
      <c r="H31" s="72">
        <v>300000</v>
      </c>
      <c r="I31" s="69" t="s">
        <v>98</v>
      </c>
      <c r="J31" s="72"/>
      <c r="K31" s="69" t="s">
        <v>241</v>
      </c>
      <c r="L31" s="72">
        <v>19200</v>
      </c>
      <c r="M31" s="69" t="s">
        <v>96</v>
      </c>
      <c r="N31" s="72">
        <v>71400</v>
      </c>
      <c r="O31" s="69" t="s">
        <v>141</v>
      </c>
      <c r="P31" s="72">
        <v>187500</v>
      </c>
      <c r="Q31" s="69" t="s">
        <v>222</v>
      </c>
      <c r="R31" s="72">
        <v>71400</v>
      </c>
      <c r="S31" s="69" t="s">
        <v>202</v>
      </c>
      <c r="T31" s="72"/>
      <c r="U31" s="69" t="s">
        <v>101</v>
      </c>
      <c r="V31" s="72"/>
      <c r="W31" s="69" t="s">
        <v>203</v>
      </c>
      <c r="X31" s="72"/>
      <c r="Y31" s="69" t="s">
        <v>197</v>
      </c>
      <c r="Z31" s="72"/>
      <c r="AA31" s="69" t="s">
        <v>204</v>
      </c>
      <c r="AB31" s="72"/>
    </row>
    <row r="32" spans="1:28" x14ac:dyDescent="0.2">
      <c r="A32" s="9" t="s">
        <v>95</v>
      </c>
      <c r="B32" s="66" t="s">
        <v>225</v>
      </c>
      <c r="C32" s="64" t="s">
        <v>72</v>
      </c>
      <c r="D32" s="85">
        <f t="shared" si="0"/>
        <v>644513</v>
      </c>
      <c r="E32" s="69" t="s">
        <v>85</v>
      </c>
      <c r="F32" s="72">
        <v>242813</v>
      </c>
      <c r="G32" s="69"/>
      <c r="H32" s="72"/>
      <c r="I32" s="69" t="s">
        <v>90</v>
      </c>
      <c r="J32" s="72">
        <v>71400</v>
      </c>
      <c r="K32" s="69" t="s">
        <v>84</v>
      </c>
      <c r="L32" s="72"/>
      <c r="M32" s="69" t="s">
        <v>141</v>
      </c>
      <c r="N32" s="72">
        <v>187500</v>
      </c>
      <c r="O32" s="69" t="s">
        <v>201</v>
      </c>
      <c r="P32" s="72">
        <v>71400</v>
      </c>
      <c r="Q32" s="69" t="s">
        <v>222</v>
      </c>
      <c r="R32" s="72">
        <v>71400</v>
      </c>
      <c r="S32" s="69" t="s">
        <v>135</v>
      </c>
      <c r="T32" s="72"/>
      <c r="U32" s="69" t="s">
        <v>101</v>
      </c>
      <c r="V32" s="72"/>
      <c r="W32" s="69" t="s">
        <v>203</v>
      </c>
      <c r="X32" s="72"/>
      <c r="Y32" s="69" t="s">
        <v>207</v>
      </c>
      <c r="Z32" s="72"/>
      <c r="AA32" s="69" t="s">
        <v>197</v>
      </c>
      <c r="AB32" s="72"/>
    </row>
    <row r="33" spans="1:28" x14ac:dyDescent="0.2">
      <c r="A33" s="9" t="s">
        <v>303</v>
      </c>
      <c r="B33" s="66" t="s">
        <v>304</v>
      </c>
      <c r="C33" s="64" t="s">
        <v>73</v>
      </c>
      <c r="D33" s="85">
        <f t="shared" si="0"/>
        <v>641275</v>
      </c>
      <c r="E33" s="69" t="s">
        <v>106</v>
      </c>
      <c r="F33" s="72">
        <v>38625</v>
      </c>
      <c r="G33" s="69" t="s">
        <v>80</v>
      </c>
      <c r="H33" s="72">
        <v>300000</v>
      </c>
      <c r="I33" s="69" t="s">
        <v>98</v>
      </c>
      <c r="J33" s="72"/>
      <c r="K33" s="69" t="s">
        <v>216</v>
      </c>
      <c r="L33" s="72">
        <v>21850</v>
      </c>
      <c r="M33" s="69" t="s">
        <v>96</v>
      </c>
      <c r="N33" s="72">
        <v>71400</v>
      </c>
      <c r="O33" s="69" t="s">
        <v>77</v>
      </c>
      <c r="P33" s="72">
        <v>33000</v>
      </c>
      <c r="Q33" s="69" t="s">
        <v>222</v>
      </c>
      <c r="R33" s="72">
        <v>71400</v>
      </c>
      <c r="S33" s="69" t="s">
        <v>139</v>
      </c>
      <c r="T33" s="72">
        <v>105000</v>
      </c>
      <c r="U33" s="69" t="s">
        <v>101</v>
      </c>
      <c r="V33" s="72"/>
      <c r="W33" s="69" t="s">
        <v>203</v>
      </c>
      <c r="X33" s="72"/>
      <c r="Y33" s="69" t="s">
        <v>197</v>
      </c>
      <c r="Z33" s="72"/>
      <c r="AA33" s="69" t="s">
        <v>198</v>
      </c>
      <c r="AB33" s="72"/>
    </row>
    <row r="34" spans="1:28" x14ac:dyDescent="0.2">
      <c r="A34" s="9" t="s">
        <v>220</v>
      </c>
      <c r="B34" s="66" t="s">
        <v>117</v>
      </c>
      <c r="C34" s="64" t="s">
        <v>73</v>
      </c>
      <c r="D34" s="85">
        <f t="shared" ref="D34:D62" si="1">SUM(F34)+H34+J34+L34+N34+P34+R34+T34+V34+X34+Z34+AB34</f>
        <v>640650</v>
      </c>
      <c r="E34" s="69" t="s">
        <v>88</v>
      </c>
      <c r="F34" s="72">
        <v>131250</v>
      </c>
      <c r="G34" s="69" t="s">
        <v>80</v>
      </c>
      <c r="H34" s="72">
        <v>300000</v>
      </c>
      <c r="I34" s="69" t="s">
        <v>98</v>
      </c>
      <c r="J34" s="72"/>
      <c r="K34" s="69" t="s">
        <v>216</v>
      </c>
      <c r="L34" s="72"/>
      <c r="M34" s="69" t="s">
        <v>96</v>
      </c>
      <c r="N34" s="72">
        <v>71400</v>
      </c>
      <c r="O34" s="69" t="s">
        <v>77</v>
      </c>
      <c r="P34" s="72">
        <v>33000</v>
      </c>
      <c r="Q34" s="69" t="s">
        <v>135</v>
      </c>
      <c r="R34" s="72"/>
      <c r="S34" s="69" t="s">
        <v>139</v>
      </c>
      <c r="T34" s="72">
        <v>105000</v>
      </c>
      <c r="U34" s="69" t="s">
        <v>101</v>
      </c>
      <c r="V34" s="72"/>
      <c r="W34" s="69" t="s">
        <v>203</v>
      </c>
      <c r="X34" s="72"/>
      <c r="Y34" s="69" t="s">
        <v>207</v>
      </c>
      <c r="Z34" s="72"/>
      <c r="AA34" s="69" t="s">
        <v>197</v>
      </c>
      <c r="AB34" s="72"/>
    </row>
    <row r="35" spans="1:28" x14ac:dyDescent="0.2">
      <c r="A35" s="9" t="s">
        <v>234</v>
      </c>
      <c r="B35" s="66" t="s">
        <v>235</v>
      </c>
      <c r="C35" s="64" t="s">
        <v>73</v>
      </c>
      <c r="D35" s="85">
        <f t="shared" si="1"/>
        <v>633000</v>
      </c>
      <c r="E35" s="69" t="s">
        <v>106</v>
      </c>
      <c r="F35" s="72">
        <v>38625</v>
      </c>
      <c r="G35" s="69" t="s">
        <v>80</v>
      </c>
      <c r="H35" s="72">
        <v>300000</v>
      </c>
      <c r="I35" s="69" t="s">
        <v>87</v>
      </c>
      <c r="J35" s="72">
        <v>46575</v>
      </c>
      <c r="K35" s="69" t="s">
        <v>98</v>
      </c>
      <c r="L35" s="72"/>
      <c r="M35" s="69" t="s">
        <v>96</v>
      </c>
      <c r="N35" s="72">
        <v>71400</v>
      </c>
      <c r="O35" s="69" t="s">
        <v>93</v>
      </c>
      <c r="P35" s="72">
        <v>71400</v>
      </c>
      <c r="Q35" s="69" t="s">
        <v>196</v>
      </c>
      <c r="R35" s="72"/>
      <c r="S35" s="69" t="s">
        <v>139</v>
      </c>
      <c r="T35" s="72">
        <v>105000</v>
      </c>
      <c r="U35" s="69" t="s">
        <v>101</v>
      </c>
      <c r="V35" s="72"/>
      <c r="W35" s="69" t="s">
        <v>203</v>
      </c>
      <c r="X35" s="72"/>
      <c r="Y35" s="69" t="s">
        <v>197</v>
      </c>
      <c r="Z35" s="72"/>
      <c r="AA35" s="69" t="s">
        <v>198</v>
      </c>
      <c r="AB35" s="72"/>
    </row>
    <row r="36" spans="1:28" x14ac:dyDescent="0.2">
      <c r="A36" s="9" t="s">
        <v>301</v>
      </c>
      <c r="B36" s="66" t="s">
        <v>302</v>
      </c>
      <c r="C36" s="64" t="s">
        <v>116</v>
      </c>
      <c r="D36" s="85">
        <f t="shared" si="1"/>
        <v>628200</v>
      </c>
      <c r="E36" s="69" t="s">
        <v>88</v>
      </c>
      <c r="F36" s="72">
        <v>131250</v>
      </c>
      <c r="G36" s="69" t="s">
        <v>94</v>
      </c>
      <c r="H36" s="72"/>
      <c r="I36" s="69" t="s">
        <v>165</v>
      </c>
      <c r="J36" s="72">
        <v>27750</v>
      </c>
      <c r="K36" s="69" t="s">
        <v>211</v>
      </c>
      <c r="L36" s="72">
        <v>150000</v>
      </c>
      <c r="M36" s="69" t="s">
        <v>96</v>
      </c>
      <c r="N36" s="72">
        <v>71400</v>
      </c>
      <c r="O36" s="69" t="s">
        <v>201</v>
      </c>
      <c r="P36" s="72">
        <v>71400</v>
      </c>
      <c r="Q36" s="69" t="s">
        <v>222</v>
      </c>
      <c r="R36" s="72">
        <v>71400</v>
      </c>
      <c r="S36" s="69" t="s">
        <v>139</v>
      </c>
      <c r="T36" s="72">
        <v>105000</v>
      </c>
      <c r="U36" s="69" t="s">
        <v>101</v>
      </c>
      <c r="V36" s="72"/>
      <c r="W36" s="69" t="s">
        <v>119</v>
      </c>
      <c r="X36" s="72"/>
      <c r="Y36" s="69" t="s">
        <v>207</v>
      </c>
      <c r="Z36" s="72"/>
      <c r="AA36" s="69" t="s">
        <v>197</v>
      </c>
      <c r="AB36" s="72"/>
    </row>
    <row r="37" spans="1:28" x14ac:dyDescent="0.2">
      <c r="A37" s="9" t="s">
        <v>120</v>
      </c>
      <c r="B37" s="66" t="s">
        <v>121</v>
      </c>
      <c r="C37" s="64" t="s">
        <v>73</v>
      </c>
      <c r="D37" s="85">
        <f t="shared" si="1"/>
        <v>619425</v>
      </c>
      <c r="E37" s="69" t="s">
        <v>106</v>
      </c>
      <c r="F37" s="72">
        <v>38625</v>
      </c>
      <c r="G37" s="69" t="s">
        <v>80</v>
      </c>
      <c r="H37" s="72">
        <v>300000</v>
      </c>
      <c r="I37" s="69" t="s">
        <v>98</v>
      </c>
      <c r="J37" s="72"/>
      <c r="K37" s="69" t="s">
        <v>84</v>
      </c>
      <c r="L37" s="72"/>
      <c r="M37" s="69" t="s">
        <v>96</v>
      </c>
      <c r="N37" s="72">
        <v>71400</v>
      </c>
      <c r="O37" s="69" t="s">
        <v>77</v>
      </c>
      <c r="P37" s="72">
        <v>33000</v>
      </c>
      <c r="Q37" s="69" t="s">
        <v>222</v>
      </c>
      <c r="R37" s="72">
        <v>71400</v>
      </c>
      <c r="S37" s="69" t="s">
        <v>139</v>
      </c>
      <c r="T37" s="72">
        <v>105000</v>
      </c>
      <c r="U37" s="69" t="s">
        <v>101</v>
      </c>
      <c r="V37" s="72"/>
      <c r="W37" s="69" t="s">
        <v>203</v>
      </c>
      <c r="X37" s="72"/>
      <c r="Y37" s="69" t="s">
        <v>197</v>
      </c>
      <c r="Z37" s="72"/>
      <c r="AA37" s="69" t="s">
        <v>208</v>
      </c>
      <c r="AB37" s="72"/>
    </row>
    <row r="38" spans="1:28" x14ac:dyDescent="0.2">
      <c r="A38" s="9" t="s">
        <v>260</v>
      </c>
      <c r="B38" s="66" t="s">
        <v>261</v>
      </c>
      <c r="C38" s="64" t="s">
        <v>73</v>
      </c>
      <c r="D38" s="85">
        <f t="shared" si="1"/>
        <v>617075</v>
      </c>
      <c r="E38" s="69" t="s">
        <v>88</v>
      </c>
      <c r="F38" s="72">
        <v>131250</v>
      </c>
      <c r="G38" s="69" t="s">
        <v>106</v>
      </c>
      <c r="H38" s="72">
        <v>38625</v>
      </c>
      <c r="I38" s="69" t="s">
        <v>111</v>
      </c>
      <c r="J38" s="72">
        <v>71400</v>
      </c>
      <c r="K38" s="69" t="s">
        <v>211</v>
      </c>
      <c r="L38" s="72">
        <v>150000</v>
      </c>
      <c r="M38" s="69" t="s">
        <v>96</v>
      </c>
      <c r="N38" s="72">
        <v>71400</v>
      </c>
      <c r="O38" s="69" t="s">
        <v>77</v>
      </c>
      <c r="P38" s="72">
        <v>33000</v>
      </c>
      <c r="Q38" s="69" t="s">
        <v>222</v>
      </c>
      <c r="R38" s="72">
        <v>71400</v>
      </c>
      <c r="S38" s="69" t="s">
        <v>196</v>
      </c>
      <c r="T38" s="72"/>
      <c r="U38" s="69" t="s">
        <v>101</v>
      </c>
      <c r="V38" s="72"/>
      <c r="W38" s="69" t="s">
        <v>203</v>
      </c>
      <c r="X38" s="72"/>
      <c r="Y38" s="69" t="s">
        <v>207</v>
      </c>
      <c r="Z38" s="72"/>
      <c r="AA38" s="69" t="s">
        <v>208</v>
      </c>
      <c r="AB38" s="72">
        <v>50000</v>
      </c>
    </row>
    <row r="39" spans="1:28" x14ac:dyDescent="0.2">
      <c r="A39" s="9" t="s">
        <v>254</v>
      </c>
      <c r="B39" s="66" t="s">
        <v>255</v>
      </c>
      <c r="C39" s="65" t="s">
        <v>72</v>
      </c>
      <c r="D39" s="85">
        <f t="shared" si="1"/>
        <v>611000</v>
      </c>
      <c r="E39" s="69" t="s">
        <v>106</v>
      </c>
      <c r="F39" s="72">
        <v>38625</v>
      </c>
      <c r="G39" s="69" t="s">
        <v>80</v>
      </c>
      <c r="H39" s="72">
        <v>300000</v>
      </c>
      <c r="I39" s="69" t="s">
        <v>90</v>
      </c>
      <c r="J39" s="72">
        <v>71400</v>
      </c>
      <c r="K39" s="69" t="s">
        <v>84</v>
      </c>
      <c r="L39" s="72"/>
      <c r="M39" s="69" t="s">
        <v>89</v>
      </c>
      <c r="N39" s="72">
        <v>33000</v>
      </c>
      <c r="O39" s="69" t="s">
        <v>229</v>
      </c>
      <c r="P39" s="72"/>
      <c r="Q39" s="69" t="s">
        <v>222</v>
      </c>
      <c r="R39" s="72">
        <v>71400</v>
      </c>
      <c r="S39" s="69" t="s">
        <v>256</v>
      </c>
      <c r="T39" s="72">
        <v>46575</v>
      </c>
      <c r="U39" s="69" t="s">
        <v>101</v>
      </c>
      <c r="V39" s="72"/>
      <c r="W39" s="69" t="s">
        <v>119</v>
      </c>
      <c r="X39" s="72"/>
      <c r="Y39" s="69" t="s">
        <v>197</v>
      </c>
      <c r="Z39" s="72"/>
      <c r="AA39" s="69" t="s">
        <v>208</v>
      </c>
      <c r="AB39" s="72">
        <v>50000</v>
      </c>
    </row>
    <row r="40" spans="1:28" x14ac:dyDescent="0.2">
      <c r="A40" s="9" t="s">
        <v>160</v>
      </c>
      <c r="B40" s="66" t="s">
        <v>223</v>
      </c>
      <c r="C40" s="64" t="s">
        <v>161</v>
      </c>
      <c r="D40" s="85">
        <f t="shared" si="1"/>
        <v>575063</v>
      </c>
      <c r="E40" s="69" t="s">
        <v>85</v>
      </c>
      <c r="F40" s="72">
        <v>242813</v>
      </c>
      <c r="G40" s="69"/>
      <c r="H40" s="72"/>
      <c r="I40" s="69" t="s">
        <v>100</v>
      </c>
      <c r="J40" s="72">
        <v>116250</v>
      </c>
      <c r="K40" s="69" t="s">
        <v>211</v>
      </c>
      <c r="L40" s="72">
        <v>150000</v>
      </c>
      <c r="M40" s="69" t="s">
        <v>89</v>
      </c>
      <c r="N40" s="72">
        <v>33000</v>
      </c>
      <c r="O40" s="69" t="s">
        <v>77</v>
      </c>
      <c r="P40" s="72">
        <v>33000</v>
      </c>
      <c r="Q40" s="69" t="s">
        <v>224</v>
      </c>
      <c r="R40" s="72"/>
      <c r="S40" s="69" t="s">
        <v>135</v>
      </c>
      <c r="T40" s="72"/>
      <c r="U40" s="69" t="s">
        <v>101</v>
      </c>
      <c r="V40" s="72"/>
      <c r="W40" s="69" t="s">
        <v>119</v>
      </c>
      <c r="X40" s="72"/>
      <c r="Y40" s="69" t="s">
        <v>197</v>
      </c>
      <c r="Z40" s="72"/>
      <c r="AA40" s="69" t="s">
        <v>198</v>
      </c>
      <c r="AB40" s="72"/>
    </row>
    <row r="41" spans="1:28" x14ac:dyDescent="0.2">
      <c r="A41" s="9" t="s">
        <v>297</v>
      </c>
      <c r="B41" s="66" t="s">
        <v>298</v>
      </c>
      <c r="C41" s="64" t="s">
        <v>73</v>
      </c>
      <c r="D41" s="85">
        <f t="shared" si="1"/>
        <v>573613</v>
      </c>
      <c r="E41" s="69" t="s">
        <v>85</v>
      </c>
      <c r="F41" s="72">
        <v>242813</v>
      </c>
      <c r="G41" s="69"/>
      <c r="H41" s="72"/>
      <c r="I41" s="69" t="s">
        <v>98</v>
      </c>
      <c r="J41" s="72"/>
      <c r="K41" s="69" t="s">
        <v>84</v>
      </c>
      <c r="L41" s="72"/>
      <c r="M41" s="69" t="s">
        <v>96</v>
      </c>
      <c r="N41" s="72">
        <v>71400</v>
      </c>
      <c r="O41" s="69" t="s">
        <v>77</v>
      </c>
      <c r="P41" s="72">
        <v>33000</v>
      </c>
      <c r="Q41" s="69" t="s">
        <v>222</v>
      </c>
      <c r="R41" s="72">
        <v>71400</v>
      </c>
      <c r="S41" s="69" t="s">
        <v>139</v>
      </c>
      <c r="T41" s="72">
        <v>105000</v>
      </c>
      <c r="U41" s="69" t="s">
        <v>101</v>
      </c>
      <c r="V41" s="72"/>
      <c r="W41" s="69" t="s">
        <v>203</v>
      </c>
      <c r="X41" s="72"/>
      <c r="Y41" s="69" t="s">
        <v>207</v>
      </c>
      <c r="Z41" s="72"/>
      <c r="AA41" s="69" t="s">
        <v>208</v>
      </c>
      <c r="AB41" s="72">
        <v>50000</v>
      </c>
    </row>
    <row r="42" spans="1:28" x14ac:dyDescent="0.2">
      <c r="A42" s="9" t="s">
        <v>281</v>
      </c>
      <c r="B42" s="66" t="s">
        <v>279</v>
      </c>
      <c r="C42" s="64" t="s">
        <v>280</v>
      </c>
      <c r="D42" s="85">
        <f t="shared" si="1"/>
        <v>569213</v>
      </c>
      <c r="E42" s="69" t="s">
        <v>85</v>
      </c>
      <c r="F42" s="72">
        <v>242813</v>
      </c>
      <c r="G42" s="69"/>
      <c r="H42" s="72"/>
      <c r="I42" s="69" t="s">
        <v>98</v>
      </c>
      <c r="J42" s="72"/>
      <c r="K42" s="69" t="s">
        <v>211</v>
      </c>
      <c r="L42" s="72">
        <v>150000</v>
      </c>
      <c r="M42" s="69" t="s">
        <v>96</v>
      </c>
      <c r="N42" s="72">
        <v>71400</v>
      </c>
      <c r="O42" s="69" t="s">
        <v>97</v>
      </c>
      <c r="P42" s="72"/>
      <c r="Q42" s="69" t="s">
        <v>195</v>
      </c>
      <c r="R42" s="72"/>
      <c r="S42" s="69" t="s">
        <v>139</v>
      </c>
      <c r="T42" s="72">
        <v>105000</v>
      </c>
      <c r="U42" s="69" t="s">
        <v>101</v>
      </c>
      <c r="V42" s="72"/>
      <c r="W42" s="69" t="s">
        <v>203</v>
      </c>
      <c r="X42" s="72"/>
      <c r="Y42" s="69" t="s">
        <v>197</v>
      </c>
      <c r="Z42" s="72"/>
      <c r="AA42" s="69" t="s">
        <v>198</v>
      </c>
      <c r="AB42" s="72"/>
    </row>
    <row r="43" spans="1:28" x14ac:dyDescent="0.2">
      <c r="A43" s="9" t="s">
        <v>107</v>
      </c>
      <c r="B43" s="66" t="s">
        <v>228</v>
      </c>
      <c r="C43" s="64" t="s">
        <v>107</v>
      </c>
      <c r="D43" s="85">
        <f t="shared" si="1"/>
        <v>562463</v>
      </c>
      <c r="E43" s="69" t="s">
        <v>85</v>
      </c>
      <c r="F43" s="72">
        <v>242813</v>
      </c>
      <c r="G43" s="69"/>
      <c r="H43" s="72"/>
      <c r="I43" s="69" t="s">
        <v>98</v>
      </c>
      <c r="J43" s="72"/>
      <c r="K43" s="69" t="s">
        <v>216</v>
      </c>
      <c r="L43" s="72">
        <v>21850</v>
      </c>
      <c r="M43" s="69" t="s">
        <v>96</v>
      </c>
      <c r="N43" s="72">
        <v>71400</v>
      </c>
      <c r="O43" s="69" t="s">
        <v>229</v>
      </c>
      <c r="P43" s="72"/>
      <c r="Q43" s="69" t="s">
        <v>214</v>
      </c>
      <c r="R43" s="72">
        <v>71400</v>
      </c>
      <c r="S43" s="69" t="s">
        <v>139</v>
      </c>
      <c r="T43" s="72">
        <v>105000</v>
      </c>
      <c r="U43" s="69" t="s">
        <v>101</v>
      </c>
      <c r="V43" s="72"/>
      <c r="W43" s="69" t="s">
        <v>203</v>
      </c>
      <c r="X43" s="72"/>
      <c r="Y43" s="69" t="s">
        <v>197</v>
      </c>
      <c r="Z43" s="72"/>
      <c r="AA43" s="69" t="s">
        <v>208</v>
      </c>
      <c r="AB43" s="72">
        <v>50000</v>
      </c>
    </row>
    <row r="44" spans="1:28" x14ac:dyDescent="0.2">
      <c r="A44" s="9" t="s">
        <v>252</v>
      </c>
      <c r="B44" s="66" t="s">
        <v>253</v>
      </c>
      <c r="C44" s="64" t="s">
        <v>72</v>
      </c>
      <c r="D44" s="85">
        <f t="shared" si="1"/>
        <v>545463</v>
      </c>
      <c r="E44" s="69" t="s">
        <v>85</v>
      </c>
      <c r="F44" s="72">
        <v>242813</v>
      </c>
      <c r="G44" s="69"/>
      <c r="H44" s="72"/>
      <c r="I44" s="69" t="s">
        <v>98</v>
      </c>
      <c r="J44" s="72"/>
      <c r="K44" s="69" t="s">
        <v>216</v>
      </c>
      <c r="L44" s="72">
        <v>21850</v>
      </c>
      <c r="M44" s="69" t="s">
        <v>96</v>
      </c>
      <c r="N44" s="72">
        <v>71400</v>
      </c>
      <c r="O44" s="69" t="s">
        <v>77</v>
      </c>
      <c r="P44" s="72">
        <v>33000</v>
      </c>
      <c r="Q44" s="69" t="s">
        <v>222</v>
      </c>
      <c r="R44" s="72">
        <v>71400</v>
      </c>
      <c r="S44" s="69" t="s">
        <v>139</v>
      </c>
      <c r="T44" s="72">
        <v>105000</v>
      </c>
      <c r="U44" s="69" t="s">
        <v>101</v>
      </c>
      <c r="V44" s="72"/>
      <c r="W44" s="69" t="s">
        <v>119</v>
      </c>
      <c r="X44" s="72"/>
      <c r="Y44" s="69" t="s">
        <v>207</v>
      </c>
      <c r="Z44" s="72"/>
      <c r="AA44" s="69" t="s">
        <v>197</v>
      </c>
      <c r="AB44" s="72"/>
    </row>
    <row r="45" spans="1:28" x14ac:dyDescent="0.2">
      <c r="A45" s="9" t="s">
        <v>116</v>
      </c>
      <c r="B45" s="66" t="s">
        <v>266</v>
      </c>
      <c r="C45" s="64" t="s">
        <v>73</v>
      </c>
      <c r="D45" s="85">
        <f t="shared" si="1"/>
        <v>536050</v>
      </c>
      <c r="E45" s="69" t="s">
        <v>110</v>
      </c>
      <c r="F45" s="72"/>
      <c r="G45" s="69" t="s">
        <v>80</v>
      </c>
      <c r="H45" s="72">
        <v>300000</v>
      </c>
      <c r="I45" s="69" t="s">
        <v>90</v>
      </c>
      <c r="J45" s="72">
        <v>71400</v>
      </c>
      <c r="K45" s="69" t="s">
        <v>216</v>
      </c>
      <c r="L45" s="72">
        <v>21850</v>
      </c>
      <c r="M45" s="69" t="s">
        <v>96</v>
      </c>
      <c r="N45" s="72">
        <v>71400</v>
      </c>
      <c r="O45" s="69" t="s">
        <v>97</v>
      </c>
      <c r="P45" s="72"/>
      <c r="Q45" s="69" t="s">
        <v>222</v>
      </c>
      <c r="R45" s="72">
        <v>71400</v>
      </c>
      <c r="S45" s="69" t="s">
        <v>265</v>
      </c>
      <c r="T45" s="72"/>
      <c r="U45" s="69" t="s">
        <v>101</v>
      </c>
      <c r="V45" s="72"/>
      <c r="W45" s="69" t="s">
        <v>119</v>
      </c>
      <c r="X45" s="72"/>
      <c r="Y45" s="69" t="s">
        <v>207</v>
      </c>
      <c r="Z45" s="72"/>
      <c r="AA45" s="69" t="s">
        <v>197</v>
      </c>
      <c r="AB45" s="72"/>
    </row>
    <row r="46" spans="1:28" x14ac:dyDescent="0.2">
      <c r="A46" s="9" t="s">
        <v>199</v>
      </c>
      <c r="B46" s="66" t="s">
        <v>200</v>
      </c>
      <c r="C46" s="64" t="s">
        <v>73</v>
      </c>
      <c r="D46" s="85">
        <f t="shared" si="1"/>
        <v>534713</v>
      </c>
      <c r="E46" s="69" t="s">
        <v>85</v>
      </c>
      <c r="F46" s="72">
        <v>242813</v>
      </c>
      <c r="G46" s="69"/>
      <c r="H46" s="72"/>
      <c r="I46" s="69" t="s">
        <v>92</v>
      </c>
      <c r="J46" s="72">
        <v>33000</v>
      </c>
      <c r="K46" s="69" t="s">
        <v>102</v>
      </c>
      <c r="L46" s="72"/>
      <c r="M46" s="69" t="s">
        <v>141</v>
      </c>
      <c r="N46" s="72">
        <v>187500</v>
      </c>
      <c r="O46" s="69" t="s">
        <v>201</v>
      </c>
      <c r="P46" s="72">
        <v>71400</v>
      </c>
      <c r="Q46" s="69" t="s">
        <v>202</v>
      </c>
      <c r="R46" s="72"/>
      <c r="S46" s="69" t="s">
        <v>196</v>
      </c>
      <c r="T46" s="72"/>
      <c r="U46" s="69" t="s">
        <v>101</v>
      </c>
      <c r="V46" s="72"/>
      <c r="W46" s="69" t="s">
        <v>203</v>
      </c>
      <c r="X46" s="72"/>
      <c r="Y46" s="69" t="s">
        <v>204</v>
      </c>
      <c r="Z46" s="72"/>
      <c r="AA46" s="69" t="s">
        <v>198</v>
      </c>
      <c r="AB46" s="72"/>
    </row>
    <row r="47" spans="1:28" x14ac:dyDescent="0.2">
      <c r="A47" s="9" t="s">
        <v>289</v>
      </c>
      <c r="B47" s="66" t="s">
        <v>290</v>
      </c>
      <c r="C47" s="64" t="s">
        <v>73</v>
      </c>
      <c r="D47" s="85">
        <f t="shared" si="1"/>
        <v>520400</v>
      </c>
      <c r="E47" s="69" t="s">
        <v>104</v>
      </c>
      <c r="F47" s="72">
        <v>33000</v>
      </c>
      <c r="G47" s="69" t="s">
        <v>80</v>
      </c>
      <c r="H47" s="72">
        <v>300000</v>
      </c>
      <c r="I47" s="69" t="s">
        <v>92</v>
      </c>
      <c r="J47" s="72">
        <v>33000</v>
      </c>
      <c r="K47" s="69" t="s">
        <v>111</v>
      </c>
      <c r="L47" s="72">
        <v>71400</v>
      </c>
      <c r="M47" s="69" t="s">
        <v>283</v>
      </c>
      <c r="N47" s="72">
        <v>33000</v>
      </c>
      <c r="O47" s="69" t="s">
        <v>143</v>
      </c>
      <c r="P47" s="72"/>
      <c r="Q47" s="69" t="s">
        <v>247</v>
      </c>
      <c r="R47" s="72"/>
      <c r="S47" s="69" t="s">
        <v>196</v>
      </c>
      <c r="T47" s="72"/>
      <c r="U47" s="69" t="s">
        <v>101</v>
      </c>
      <c r="V47" s="72"/>
      <c r="W47" s="69" t="s">
        <v>119</v>
      </c>
      <c r="X47" s="72"/>
      <c r="Y47" s="69" t="s">
        <v>204</v>
      </c>
      <c r="Z47" s="72"/>
      <c r="AA47" s="69" t="s">
        <v>208</v>
      </c>
      <c r="AB47" s="72">
        <v>50000</v>
      </c>
    </row>
    <row r="48" spans="1:28" x14ac:dyDescent="0.2">
      <c r="A48" s="9" t="s">
        <v>219</v>
      </c>
      <c r="B48" s="66" t="s">
        <v>117</v>
      </c>
      <c r="C48" s="64" t="s">
        <v>73</v>
      </c>
      <c r="D48" s="85">
        <f t="shared" si="1"/>
        <v>509400</v>
      </c>
      <c r="E48" s="69" t="s">
        <v>210</v>
      </c>
      <c r="F48" s="72"/>
      <c r="G48" s="69" t="s">
        <v>80</v>
      </c>
      <c r="H48" s="72">
        <v>300000</v>
      </c>
      <c r="I48" s="69" t="s">
        <v>92</v>
      </c>
      <c r="J48" s="72">
        <v>33000</v>
      </c>
      <c r="K48" s="69" t="s">
        <v>111</v>
      </c>
      <c r="L48" s="72"/>
      <c r="M48" s="69" t="s">
        <v>97</v>
      </c>
      <c r="N48" s="72"/>
      <c r="O48" s="69" t="s">
        <v>96</v>
      </c>
      <c r="P48" s="72">
        <v>71400</v>
      </c>
      <c r="Q48" s="69" t="s">
        <v>135</v>
      </c>
      <c r="R48" s="72"/>
      <c r="S48" s="69" t="s">
        <v>139</v>
      </c>
      <c r="T48" s="72">
        <v>105000</v>
      </c>
      <c r="U48" s="69" t="s">
        <v>101</v>
      </c>
      <c r="V48" s="72"/>
      <c r="W48" s="69" t="s">
        <v>203</v>
      </c>
      <c r="X48" s="72"/>
      <c r="Y48" s="69" t="s">
        <v>197</v>
      </c>
      <c r="Z48" s="72"/>
      <c r="AA48" s="69" t="s">
        <v>204</v>
      </c>
      <c r="AB48" s="72"/>
    </row>
    <row r="49" spans="1:28" x14ac:dyDescent="0.2">
      <c r="A49" s="9" t="s">
        <v>112</v>
      </c>
      <c r="B49" s="66" t="s">
        <v>113</v>
      </c>
      <c r="C49" s="64" t="s">
        <v>73</v>
      </c>
      <c r="D49" s="85">
        <f t="shared" si="1"/>
        <v>498600</v>
      </c>
      <c r="E49" s="69" t="s">
        <v>88</v>
      </c>
      <c r="F49" s="72">
        <v>131250</v>
      </c>
      <c r="G49" s="69" t="s">
        <v>106</v>
      </c>
      <c r="H49" s="72">
        <v>38625</v>
      </c>
      <c r="I49" s="69" t="s">
        <v>165</v>
      </c>
      <c r="J49" s="72">
        <v>27750</v>
      </c>
      <c r="K49" s="69" t="s">
        <v>211</v>
      </c>
      <c r="L49" s="72">
        <v>150000</v>
      </c>
      <c r="M49" s="69" t="s">
        <v>96</v>
      </c>
      <c r="N49" s="72">
        <v>71400</v>
      </c>
      <c r="O49" s="69" t="s">
        <v>77</v>
      </c>
      <c r="P49" s="72">
        <v>33000</v>
      </c>
      <c r="Q49" s="69" t="s">
        <v>256</v>
      </c>
      <c r="R49" s="72">
        <v>46575</v>
      </c>
      <c r="S49" s="69" t="s">
        <v>202</v>
      </c>
      <c r="T49" s="72"/>
      <c r="U49" s="69" t="s">
        <v>101</v>
      </c>
      <c r="V49" s="72"/>
      <c r="W49" s="69" t="s">
        <v>203</v>
      </c>
      <c r="X49" s="72"/>
      <c r="Y49" s="69" t="s">
        <v>207</v>
      </c>
      <c r="Z49" s="72"/>
      <c r="AA49" s="69" t="s">
        <v>197</v>
      </c>
      <c r="AB49" s="72"/>
    </row>
    <row r="50" spans="1:28" x14ac:dyDescent="0.2">
      <c r="A50" s="9" t="s">
        <v>148</v>
      </c>
      <c r="B50" s="66" t="s">
        <v>147</v>
      </c>
      <c r="C50" s="64" t="s">
        <v>73</v>
      </c>
      <c r="D50" s="85">
        <f t="shared" si="1"/>
        <v>485213</v>
      </c>
      <c r="E50" s="69" t="s">
        <v>85</v>
      </c>
      <c r="F50" s="72">
        <v>242813</v>
      </c>
      <c r="G50" s="69"/>
      <c r="H50" s="72"/>
      <c r="I50" s="69" t="s">
        <v>92</v>
      </c>
      <c r="J50" s="72">
        <v>33000</v>
      </c>
      <c r="K50" s="69" t="s">
        <v>84</v>
      </c>
      <c r="L50" s="72"/>
      <c r="M50" s="69" t="s">
        <v>89</v>
      </c>
      <c r="N50" s="72">
        <v>33000</v>
      </c>
      <c r="O50" s="69" t="s">
        <v>131</v>
      </c>
      <c r="P50" s="72"/>
      <c r="Q50" s="69" t="s">
        <v>222</v>
      </c>
      <c r="R50" s="72">
        <v>71400</v>
      </c>
      <c r="S50" s="69" t="s">
        <v>139</v>
      </c>
      <c r="T50" s="72">
        <v>105000</v>
      </c>
      <c r="U50" s="69" t="s">
        <v>101</v>
      </c>
      <c r="V50" s="72"/>
      <c r="W50" s="69" t="s">
        <v>119</v>
      </c>
      <c r="X50" s="72"/>
      <c r="Y50" s="69" t="s">
        <v>207</v>
      </c>
      <c r="Z50" s="72"/>
      <c r="AA50" s="69" t="s">
        <v>197</v>
      </c>
      <c r="AB50" s="72"/>
    </row>
    <row r="51" spans="1:28" x14ac:dyDescent="0.2">
      <c r="A51" s="9" t="s">
        <v>146</v>
      </c>
      <c r="B51" s="66" t="s">
        <v>205</v>
      </c>
      <c r="C51" s="64" t="s">
        <v>73</v>
      </c>
      <c r="D51" s="85">
        <f t="shared" si="1"/>
        <v>478463</v>
      </c>
      <c r="E51" s="69" t="s">
        <v>85</v>
      </c>
      <c r="F51" s="72">
        <v>242813</v>
      </c>
      <c r="G51" s="69"/>
      <c r="H51" s="72"/>
      <c r="I51" s="69" t="s">
        <v>206</v>
      </c>
      <c r="J51" s="72"/>
      <c r="K51" s="69" t="s">
        <v>111</v>
      </c>
      <c r="L51" s="72"/>
      <c r="M51" s="69" t="s">
        <v>82</v>
      </c>
      <c r="N51" s="72">
        <v>71400</v>
      </c>
      <c r="O51" s="69" t="s">
        <v>77</v>
      </c>
      <c r="P51" s="72">
        <v>33000</v>
      </c>
      <c r="Q51" s="69" t="s">
        <v>114</v>
      </c>
      <c r="R51" s="72">
        <v>131250</v>
      </c>
      <c r="S51" s="69" t="s">
        <v>135</v>
      </c>
      <c r="T51" s="72"/>
      <c r="U51" s="69" t="s">
        <v>101</v>
      </c>
      <c r="V51" s="72"/>
      <c r="W51" s="69" t="s">
        <v>203</v>
      </c>
      <c r="X51" s="72"/>
      <c r="Y51" s="69" t="s">
        <v>207</v>
      </c>
      <c r="Z51" s="72"/>
      <c r="AA51" s="69" t="s">
        <v>208</v>
      </c>
      <c r="AB51" s="72"/>
    </row>
    <row r="52" spans="1:28" x14ac:dyDescent="0.2">
      <c r="A52" s="9" t="s">
        <v>236</v>
      </c>
      <c r="B52" s="66" t="s">
        <v>237</v>
      </c>
      <c r="C52" s="64" t="s">
        <v>73</v>
      </c>
      <c r="D52" s="85">
        <f t="shared" si="1"/>
        <v>467313</v>
      </c>
      <c r="E52" s="69" t="s">
        <v>85</v>
      </c>
      <c r="F52" s="72">
        <v>242813</v>
      </c>
      <c r="G52" s="69"/>
      <c r="H52" s="72"/>
      <c r="I52" s="69" t="s">
        <v>76</v>
      </c>
      <c r="J52" s="72"/>
      <c r="K52" s="69" t="s">
        <v>216</v>
      </c>
      <c r="L52" s="72">
        <v>21850</v>
      </c>
      <c r="M52" s="69" t="s">
        <v>131</v>
      </c>
      <c r="N52" s="72"/>
      <c r="O52" s="69" t="s">
        <v>93</v>
      </c>
      <c r="P52" s="72">
        <v>71400</v>
      </c>
      <c r="Q52" s="69" t="s">
        <v>114</v>
      </c>
      <c r="R52" s="72">
        <v>131250</v>
      </c>
      <c r="S52" s="69" t="s">
        <v>217</v>
      </c>
      <c r="T52" s="72"/>
      <c r="U52" s="69" t="s">
        <v>101</v>
      </c>
      <c r="V52" s="72"/>
      <c r="W52" s="69" t="s">
        <v>203</v>
      </c>
      <c r="X52" s="72"/>
      <c r="Y52" s="69" t="s">
        <v>207</v>
      </c>
      <c r="Z52" s="72"/>
      <c r="AA52" s="69" t="s">
        <v>197</v>
      </c>
      <c r="AB52" s="72"/>
    </row>
    <row r="53" spans="1:28" x14ac:dyDescent="0.2">
      <c r="A53" s="9" t="s">
        <v>153</v>
      </c>
      <c r="B53" s="66" t="s">
        <v>239</v>
      </c>
      <c r="C53" s="64" t="s">
        <v>238</v>
      </c>
      <c r="D53" s="85">
        <f t="shared" si="1"/>
        <v>466163</v>
      </c>
      <c r="E53" s="69" t="s">
        <v>85</v>
      </c>
      <c r="F53" s="72">
        <v>242813</v>
      </c>
      <c r="G53" s="69"/>
      <c r="H53" s="72"/>
      <c r="I53" s="69" t="s">
        <v>241</v>
      </c>
      <c r="J53" s="72">
        <v>19200</v>
      </c>
      <c r="K53" s="69" t="s">
        <v>165</v>
      </c>
      <c r="L53" s="72">
        <v>27750</v>
      </c>
      <c r="M53" s="69" t="s">
        <v>97</v>
      </c>
      <c r="N53" s="72"/>
      <c r="O53" s="69" t="s">
        <v>201</v>
      </c>
      <c r="P53" s="72">
        <v>71400</v>
      </c>
      <c r="Q53" s="69" t="s">
        <v>135</v>
      </c>
      <c r="R53" s="72"/>
      <c r="S53" s="69" t="s">
        <v>139</v>
      </c>
      <c r="T53" s="72">
        <v>105000</v>
      </c>
      <c r="U53" s="69" t="s">
        <v>101</v>
      </c>
      <c r="V53" s="72"/>
      <c r="W53" s="69" t="s">
        <v>218</v>
      </c>
      <c r="X53" s="72"/>
      <c r="Y53" s="69" t="s">
        <v>207</v>
      </c>
      <c r="Z53" s="72"/>
      <c r="AA53" s="69" t="s">
        <v>197</v>
      </c>
      <c r="AB53" s="72"/>
    </row>
    <row r="54" spans="1:28" x14ac:dyDescent="0.2">
      <c r="A54" s="9" t="s">
        <v>150</v>
      </c>
      <c r="B54" s="66" t="s">
        <v>264</v>
      </c>
      <c r="C54" s="65" t="s">
        <v>73</v>
      </c>
      <c r="D54" s="85">
        <f t="shared" si="1"/>
        <v>442800</v>
      </c>
      <c r="E54" s="69" t="s">
        <v>210</v>
      </c>
      <c r="F54" s="72"/>
      <c r="G54" s="69" t="s">
        <v>80</v>
      </c>
      <c r="H54" s="72">
        <v>300000</v>
      </c>
      <c r="I54" s="69" t="s">
        <v>98</v>
      </c>
      <c r="J54" s="72"/>
      <c r="K54" s="69" t="s">
        <v>111</v>
      </c>
      <c r="L54" s="72">
        <v>71400</v>
      </c>
      <c r="M54" s="69" t="s">
        <v>137</v>
      </c>
      <c r="N54" s="72"/>
      <c r="O54" s="69" t="s">
        <v>131</v>
      </c>
      <c r="P54" s="72"/>
      <c r="Q54" s="69" t="s">
        <v>265</v>
      </c>
      <c r="R54" s="72"/>
      <c r="S54" s="69" t="s">
        <v>222</v>
      </c>
      <c r="T54" s="72">
        <v>71400</v>
      </c>
      <c r="U54" s="69" t="s">
        <v>101</v>
      </c>
      <c r="V54" s="72"/>
      <c r="W54" s="69" t="s">
        <v>119</v>
      </c>
      <c r="X54" s="72"/>
      <c r="Y54" s="69" t="s">
        <v>204</v>
      </c>
      <c r="Z54" s="72"/>
      <c r="AA54" s="69" t="s">
        <v>198</v>
      </c>
      <c r="AB54" s="72"/>
    </row>
    <row r="55" spans="1:28" x14ac:dyDescent="0.2">
      <c r="A55" s="9" t="s">
        <v>72</v>
      </c>
      <c r="B55" s="66" t="s">
        <v>336</v>
      </c>
      <c r="C55" s="65" t="s">
        <v>72</v>
      </c>
      <c r="D55" s="85">
        <f t="shared" si="1"/>
        <v>435700</v>
      </c>
      <c r="E55" s="69" t="s">
        <v>88</v>
      </c>
      <c r="F55" s="72">
        <v>131250</v>
      </c>
      <c r="G55" s="69" t="s">
        <v>104</v>
      </c>
      <c r="H55" s="72">
        <v>33000</v>
      </c>
      <c r="I55" s="69" t="s">
        <v>165</v>
      </c>
      <c r="J55" s="72">
        <v>27750</v>
      </c>
      <c r="K55" s="69" t="s">
        <v>81</v>
      </c>
      <c r="L55" s="72">
        <v>21850</v>
      </c>
      <c r="M55" s="69" t="s">
        <v>97</v>
      </c>
      <c r="N55" s="72"/>
      <c r="O55" s="69" t="s">
        <v>91</v>
      </c>
      <c r="P55" s="72">
        <v>150000</v>
      </c>
      <c r="Q55" s="69" t="s">
        <v>315</v>
      </c>
      <c r="R55" s="72">
        <v>21850</v>
      </c>
      <c r="S55" s="69" t="s">
        <v>313</v>
      </c>
      <c r="T55" s="72"/>
      <c r="U55" s="69" t="s">
        <v>101</v>
      </c>
      <c r="V55" s="72"/>
      <c r="W55" s="69" t="s">
        <v>203</v>
      </c>
      <c r="X55" s="72"/>
      <c r="Y55" s="69" t="s">
        <v>197</v>
      </c>
      <c r="Z55" s="72"/>
      <c r="AA55" s="69" t="s">
        <v>208</v>
      </c>
      <c r="AB55" s="72">
        <v>50000</v>
      </c>
    </row>
    <row r="56" spans="1:28" x14ac:dyDescent="0.2">
      <c r="A56" s="9" t="s">
        <v>109</v>
      </c>
      <c r="B56" s="66" t="s">
        <v>286</v>
      </c>
      <c r="C56" s="65" t="s">
        <v>73</v>
      </c>
      <c r="D56" s="85">
        <f t="shared" si="1"/>
        <v>434700</v>
      </c>
      <c r="E56" s="69" t="s">
        <v>94</v>
      </c>
      <c r="F56" s="72"/>
      <c r="G56" s="69" t="s">
        <v>74</v>
      </c>
      <c r="H56" s="72">
        <v>187500</v>
      </c>
      <c r="I56" s="69" t="s">
        <v>98</v>
      </c>
      <c r="J56" s="72"/>
      <c r="K56" s="69" t="s">
        <v>111</v>
      </c>
      <c r="L56" s="72">
        <v>71400</v>
      </c>
      <c r="M56" s="69" t="s">
        <v>89</v>
      </c>
      <c r="N56" s="72">
        <v>33000</v>
      </c>
      <c r="O56" s="69" t="s">
        <v>201</v>
      </c>
      <c r="P56" s="72">
        <v>71400</v>
      </c>
      <c r="Q56" s="69" t="s">
        <v>222</v>
      </c>
      <c r="R56" s="72">
        <v>71400</v>
      </c>
      <c r="S56" s="69" t="s">
        <v>135</v>
      </c>
      <c r="T56" s="72"/>
      <c r="U56" s="69" t="s">
        <v>101</v>
      </c>
      <c r="V56" s="72"/>
      <c r="W56" s="69" t="s">
        <v>203</v>
      </c>
      <c r="X56" s="72"/>
      <c r="Y56" s="69" t="s">
        <v>207</v>
      </c>
      <c r="Z56" s="72"/>
      <c r="AA56" s="69" t="s">
        <v>197</v>
      </c>
      <c r="AB56" s="72"/>
    </row>
    <row r="57" spans="1:28" x14ac:dyDescent="0.2">
      <c r="A57" s="9" t="s">
        <v>296</v>
      </c>
      <c r="B57" s="66" t="s">
        <v>294</v>
      </c>
      <c r="C57" s="65" t="s">
        <v>105</v>
      </c>
      <c r="D57" s="85">
        <f t="shared" si="1"/>
        <v>432188</v>
      </c>
      <c r="E57" s="69" t="s">
        <v>85</v>
      </c>
      <c r="F57" s="72">
        <v>242813</v>
      </c>
      <c r="G57" s="69"/>
      <c r="H57" s="72"/>
      <c r="I57" s="69" t="s">
        <v>90</v>
      </c>
      <c r="J57" s="72">
        <v>71400</v>
      </c>
      <c r="K57" s="69" t="s">
        <v>87</v>
      </c>
      <c r="L57" s="72">
        <v>46575</v>
      </c>
      <c r="M57" s="69" t="s">
        <v>201</v>
      </c>
      <c r="N57" s="72">
        <v>71400</v>
      </c>
      <c r="O57" s="69" t="s">
        <v>229</v>
      </c>
      <c r="P57" s="72"/>
      <c r="Q57" s="69" t="s">
        <v>247</v>
      </c>
      <c r="R57" s="72"/>
      <c r="S57" s="69" t="s">
        <v>135</v>
      </c>
      <c r="T57" s="72"/>
      <c r="U57" s="69" t="s">
        <v>101</v>
      </c>
      <c r="V57" s="72"/>
      <c r="W57" s="69" t="s">
        <v>119</v>
      </c>
      <c r="X57" s="72"/>
      <c r="Y57" s="69" t="s">
        <v>207</v>
      </c>
      <c r="Z57" s="72"/>
      <c r="AA57" s="69" t="s">
        <v>197</v>
      </c>
      <c r="AB57" s="72"/>
    </row>
    <row r="58" spans="1:28" x14ac:dyDescent="0.2">
      <c r="A58" s="9" t="s">
        <v>118</v>
      </c>
      <c r="B58" s="66" t="s">
        <v>262</v>
      </c>
      <c r="C58" s="65" t="s">
        <v>73</v>
      </c>
      <c r="D58" s="85">
        <f t="shared" si="1"/>
        <v>423450</v>
      </c>
      <c r="E58" s="69" t="s">
        <v>210</v>
      </c>
      <c r="F58" s="72"/>
      <c r="G58" s="69" t="s">
        <v>75</v>
      </c>
      <c r="H58" s="72">
        <v>46575</v>
      </c>
      <c r="I58" s="69" t="s">
        <v>87</v>
      </c>
      <c r="J58" s="72">
        <v>46575</v>
      </c>
      <c r="K58" s="69" t="s">
        <v>111</v>
      </c>
      <c r="L58" s="72">
        <v>71400</v>
      </c>
      <c r="M58" s="69" t="s">
        <v>82</v>
      </c>
      <c r="N58" s="72">
        <v>71400</v>
      </c>
      <c r="O58" s="69" t="s">
        <v>141</v>
      </c>
      <c r="P58" s="72">
        <v>187500</v>
      </c>
      <c r="Q58" s="69" t="s">
        <v>135</v>
      </c>
      <c r="R58" s="72"/>
      <c r="S58" s="69" t="s">
        <v>196</v>
      </c>
      <c r="T58" s="72"/>
      <c r="U58" s="69" t="s">
        <v>101</v>
      </c>
      <c r="V58" s="72"/>
      <c r="W58" s="69" t="s">
        <v>119</v>
      </c>
      <c r="X58" s="72"/>
      <c r="Y58" s="69" t="s">
        <v>207</v>
      </c>
      <c r="Z58" s="72"/>
      <c r="AA58" s="69" t="s">
        <v>197</v>
      </c>
      <c r="AB58" s="72"/>
    </row>
    <row r="59" spans="1:28" x14ac:dyDescent="0.2">
      <c r="A59" s="9" t="s">
        <v>215</v>
      </c>
      <c r="B59" s="66" t="s">
        <v>149</v>
      </c>
      <c r="C59" s="65" t="s">
        <v>73</v>
      </c>
      <c r="D59" s="85">
        <f t="shared" si="1"/>
        <v>419213</v>
      </c>
      <c r="E59" s="69" t="s">
        <v>85</v>
      </c>
      <c r="F59" s="72">
        <v>242813</v>
      </c>
      <c r="G59" s="69"/>
      <c r="H59" s="72"/>
      <c r="I59" s="69" t="s">
        <v>98</v>
      </c>
      <c r="J59" s="72"/>
      <c r="K59" s="69" t="s">
        <v>216</v>
      </c>
      <c r="L59" s="72"/>
      <c r="M59" s="69" t="s">
        <v>97</v>
      </c>
      <c r="N59" s="72"/>
      <c r="O59" s="69" t="s">
        <v>93</v>
      </c>
      <c r="P59" s="72">
        <v>71400</v>
      </c>
      <c r="Q59" s="69" t="s">
        <v>217</v>
      </c>
      <c r="R59" s="72"/>
      <c r="S59" s="69" t="s">
        <v>139</v>
      </c>
      <c r="T59" s="72">
        <v>105000</v>
      </c>
      <c r="U59" s="69" t="s">
        <v>218</v>
      </c>
      <c r="V59" s="72"/>
      <c r="W59" s="69" t="s">
        <v>203</v>
      </c>
      <c r="X59" s="72"/>
      <c r="Y59" s="69" t="s">
        <v>197</v>
      </c>
      <c r="Z59" s="72"/>
      <c r="AA59" s="69" t="s">
        <v>198</v>
      </c>
      <c r="AB59" s="72"/>
    </row>
    <row r="60" spans="1:28" x14ac:dyDescent="0.2">
      <c r="A60" s="9" t="s">
        <v>251</v>
      </c>
      <c r="B60" s="63" t="s">
        <v>250</v>
      </c>
      <c r="C60" s="65" t="s">
        <v>245</v>
      </c>
      <c r="D60" s="85">
        <f t="shared" si="1"/>
        <v>362275</v>
      </c>
      <c r="E60" s="69" t="s">
        <v>88</v>
      </c>
      <c r="F60" s="72">
        <v>131250</v>
      </c>
      <c r="G60" s="69" t="s">
        <v>106</v>
      </c>
      <c r="H60" s="72">
        <v>38625</v>
      </c>
      <c r="I60" s="69" t="s">
        <v>216</v>
      </c>
      <c r="J60" s="72">
        <v>21850</v>
      </c>
      <c r="K60" s="69" t="s">
        <v>165</v>
      </c>
      <c r="L60" s="72">
        <v>27750</v>
      </c>
      <c r="M60" s="69" t="s">
        <v>131</v>
      </c>
      <c r="N60" s="72"/>
      <c r="O60" s="69" t="s">
        <v>93</v>
      </c>
      <c r="P60" s="72">
        <v>71400</v>
      </c>
      <c r="Q60" s="69" t="s">
        <v>222</v>
      </c>
      <c r="R60" s="72">
        <v>71400</v>
      </c>
      <c r="S60" s="69" t="s">
        <v>195</v>
      </c>
      <c r="T60" s="72"/>
      <c r="U60" s="69" t="s">
        <v>101</v>
      </c>
      <c r="V60" s="72"/>
      <c r="W60" s="69" t="s">
        <v>203</v>
      </c>
      <c r="X60" s="72"/>
      <c r="Y60" s="69" t="s">
        <v>204</v>
      </c>
      <c r="Z60" s="72"/>
      <c r="AA60" s="69" t="s">
        <v>198</v>
      </c>
      <c r="AB60" s="72"/>
    </row>
    <row r="61" spans="1:28" x14ac:dyDescent="0.2">
      <c r="A61" s="9" t="s">
        <v>194</v>
      </c>
      <c r="B61" s="66" t="s">
        <v>193</v>
      </c>
      <c r="C61" s="65" t="s">
        <v>107</v>
      </c>
      <c r="D61" s="85">
        <f t="shared" si="1"/>
        <v>340050</v>
      </c>
      <c r="E61" s="69" t="s">
        <v>104</v>
      </c>
      <c r="F61" s="72">
        <v>33000</v>
      </c>
      <c r="G61" s="69" t="s">
        <v>88</v>
      </c>
      <c r="H61" s="72">
        <v>131250</v>
      </c>
      <c r="I61" s="69" t="s">
        <v>92</v>
      </c>
      <c r="J61" s="72">
        <v>33000</v>
      </c>
      <c r="K61" s="69" t="s">
        <v>122</v>
      </c>
      <c r="L61" s="72"/>
      <c r="M61" s="69" t="s">
        <v>96</v>
      </c>
      <c r="N61" s="72">
        <v>71400</v>
      </c>
      <c r="O61" s="69" t="s">
        <v>93</v>
      </c>
      <c r="P61" s="72">
        <v>71400</v>
      </c>
      <c r="Q61" s="69" t="s">
        <v>195</v>
      </c>
      <c r="R61" s="72"/>
      <c r="S61" s="69" t="s">
        <v>196</v>
      </c>
      <c r="T61" s="72"/>
      <c r="U61" s="69" t="s">
        <v>101</v>
      </c>
      <c r="V61" s="72"/>
      <c r="W61" s="69" t="s">
        <v>119</v>
      </c>
      <c r="X61" s="72"/>
      <c r="Y61" s="69" t="s">
        <v>197</v>
      </c>
      <c r="Z61" s="72"/>
      <c r="AA61" s="69" t="s">
        <v>198</v>
      </c>
      <c r="AB61" s="72"/>
    </row>
    <row r="62" spans="1:28" ht="11.55" thickBot="1" x14ac:dyDescent="0.25">
      <c r="A62" s="10" t="s">
        <v>295</v>
      </c>
      <c r="B62" s="82" t="s">
        <v>294</v>
      </c>
      <c r="C62" s="71" t="s">
        <v>105</v>
      </c>
      <c r="D62" s="86">
        <f t="shared" si="1"/>
        <v>311600</v>
      </c>
      <c r="E62" s="71" t="s">
        <v>210</v>
      </c>
      <c r="F62" s="73"/>
      <c r="G62" s="71" t="s">
        <v>106</v>
      </c>
      <c r="H62" s="73">
        <v>38625</v>
      </c>
      <c r="I62" s="71" t="s">
        <v>111</v>
      </c>
      <c r="J62" s="73">
        <v>71400</v>
      </c>
      <c r="K62" s="71" t="s">
        <v>84</v>
      </c>
      <c r="L62" s="73"/>
      <c r="M62" s="71" t="s">
        <v>97</v>
      </c>
      <c r="N62" s="73"/>
      <c r="O62" s="71" t="s">
        <v>131</v>
      </c>
      <c r="P62" s="73"/>
      <c r="Q62" s="71" t="s">
        <v>256</v>
      </c>
      <c r="R62" s="73">
        <v>46575</v>
      </c>
      <c r="S62" s="71" t="s">
        <v>139</v>
      </c>
      <c r="T62" s="73">
        <v>105000</v>
      </c>
      <c r="U62" s="71" t="s">
        <v>248</v>
      </c>
      <c r="V62" s="73"/>
      <c r="W62" s="71" t="s">
        <v>203</v>
      </c>
      <c r="X62" s="73"/>
      <c r="Y62" s="71" t="s">
        <v>208</v>
      </c>
      <c r="Z62" s="73">
        <v>50000</v>
      </c>
      <c r="AA62" s="71" t="s">
        <v>198</v>
      </c>
      <c r="AB62" s="73"/>
    </row>
  </sheetData>
  <autoFilter ref="A1:AA62"/>
  <phoneticPr fontId="2" type="noConversion"/>
  <conditionalFormatting sqref="E2:AB62">
    <cfRule type="containsBlanks" dxfId="0" priority="1" stopIfTrue="1">
      <formula>LEN(TRIM(E2))=0</formula>
    </cfRule>
  </conditionalFormatting>
  <hyperlinks>
    <hyperlink ref="B61" r:id="rId1"/>
    <hyperlink ref="B46" r:id="rId2"/>
    <hyperlink ref="B51" r:id="rId3"/>
    <hyperlink ref="B4" r:id="rId4"/>
    <hyperlink ref="B59" r:id="rId5"/>
    <hyperlink ref="B37" r:id="rId6"/>
    <hyperlink ref="B48" r:id="rId7"/>
    <hyperlink ref="B34" r:id="rId8"/>
    <hyperlink ref="B18" r:id="rId9"/>
    <hyperlink ref="B28" r:id="rId10"/>
    <hyperlink ref="B40" r:id="rId11"/>
    <hyperlink ref="B32" r:id="rId12"/>
    <hyperlink ref="B30" r:id="rId13"/>
    <hyperlink ref="B43" r:id="rId14"/>
    <hyperlink ref="B22" r:id="rId15"/>
    <hyperlink ref="B2" r:id="rId16"/>
    <hyperlink ref="B50" r:id="rId17"/>
    <hyperlink ref="B35" r:id="rId18"/>
    <hyperlink ref="B52" r:id="rId19"/>
    <hyperlink ref="B29" r:id="rId20"/>
    <hyperlink ref="B25" r:id="rId21"/>
    <hyperlink ref="B53" r:id="rId22"/>
    <hyperlink ref="B11" r:id="rId23"/>
    <hyperlink ref="B23" r:id="rId24"/>
    <hyperlink ref="B24" r:id="rId25"/>
    <hyperlink ref="B60" r:id="rId26"/>
    <hyperlink ref="B44" r:id="rId27"/>
    <hyperlink ref="B39" r:id="rId28"/>
    <hyperlink ref="B12" r:id="rId29"/>
    <hyperlink ref="B20" r:id="rId30"/>
    <hyperlink ref="B38" r:id="rId31"/>
    <hyperlink ref="B58" r:id="rId32"/>
    <hyperlink ref="B7" r:id="rId33"/>
    <hyperlink ref="B54" r:id="rId34"/>
    <hyperlink ref="B45" r:id="rId35"/>
    <hyperlink ref="B17" r:id="rId36"/>
    <hyperlink ref="B27" r:id="rId37"/>
    <hyperlink ref="B31" r:id="rId38"/>
    <hyperlink ref="B19" r:id="rId39"/>
    <hyperlink ref="B5" r:id="rId40"/>
    <hyperlink ref="B26" r:id="rId41"/>
    <hyperlink ref="B42" r:id="rId42"/>
    <hyperlink ref="B16" r:id="rId43"/>
    <hyperlink ref="B6" r:id="rId44"/>
    <hyperlink ref="B56" r:id="rId45"/>
    <hyperlink ref="B21" r:id="rId46"/>
    <hyperlink ref="B47" r:id="rId47"/>
    <hyperlink ref="B13" r:id="rId48"/>
    <hyperlink ref="B8" r:id="rId49"/>
    <hyperlink ref="B3" r:id="rId50"/>
    <hyperlink ref="B62" r:id="rId51"/>
    <hyperlink ref="B57" r:id="rId52"/>
    <hyperlink ref="B41" r:id="rId53"/>
    <hyperlink ref="B14" r:id="rId54"/>
    <hyperlink ref="B10" r:id="rId55"/>
    <hyperlink ref="B36" r:id="rId56"/>
    <hyperlink ref="B49" r:id="rId57"/>
    <hyperlink ref="B33" r:id="rId58"/>
    <hyperlink ref="B55" r:id="rId59"/>
    <hyperlink ref="B9" r:id="rId60"/>
    <hyperlink ref="B15" r:id="rId61"/>
  </hyperlinks>
  <pageMargins left="0.1" right="0.1" top="0.25" bottom="0.25" header="0.5" footer="0.5"/>
  <pageSetup scale="83" fitToHeight="2" orientation="landscape" r:id="rId6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F99"/>
  <sheetViews>
    <sheetView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G83" sqref="G24:G83"/>
    </sheetView>
  </sheetViews>
  <sheetFormatPr defaultColWidth="63.5" defaultRowHeight="13.6" x14ac:dyDescent="0.25"/>
  <cols>
    <col min="1" max="1" width="15.875" style="1" bestFit="1" customWidth="1"/>
    <col min="2" max="2" width="7.375" style="2" bestFit="1" customWidth="1"/>
    <col min="3" max="3" width="5.875" style="2" bestFit="1" customWidth="1"/>
    <col min="4" max="4" width="5.875" style="22" customWidth="1"/>
    <col min="5" max="5" width="14.125" style="4" customWidth="1"/>
    <col min="6" max="6" width="5.375" style="1" customWidth="1"/>
    <col min="7" max="16384" width="63.5" style="1"/>
  </cols>
  <sheetData>
    <row r="1" spans="1:6" thickBot="1" x14ac:dyDescent="0.25">
      <c r="A1" s="5" t="s">
        <v>25</v>
      </c>
      <c r="B1" s="6" t="s">
        <v>67</v>
      </c>
      <c r="C1" s="13" t="s">
        <v>129</v>
      </c>
      <c r="D1" s="49" t="s">
        <v>317</v>
      </c>
      <c r="E1" s="14" t="s">
        <v>166</v>
      </c>
    </row>
    <row r="2" spans="1:6" x14ac:dyDescent="0.25">
      <c r="A2" s="45" t="s">
        <v>64</v>
      </c>
      <c r="B2" s="46">
        <f>COUNTIF(Selections!$E$1:$AA$62,"tiger woods")</f>
        <v>22</v>
      </c>
      <c r="C2" s="47" t="s">
        <v>124</v>
      </c>
      <c r="D2" s="50">
        <f t="shared" ref="D2:D33" si="0">SUM(B2)/61</f>
        <v>0.36065573770491804</v>
      </c>
      <c r="E2" s="48" t="s">
        <v>318</v>
      </c>
      <c r="F2" s="3"/>
    </row>
    <row r="3" spans="1:6" x14ac:dyDescent="0.25">
      <c r="A3" s="38" t="s">
        <v>48</v>
      </c>
      <c r="B3" s="39">
        <f>COUNTIF(Selections!$E$1:$AA$62,"Phil Mickelson")</f>
        <v>22</v>
      </c>
      <c r="C3" s="42" t="s">
        <v>124</v>
      </c>
      <c r="D3" s="51">
        <f t="shared" si="0"/>
        <v>0.36065573770491804</v>
      </c>
      <c r="E3" s="41" t="s">
        <v>319</v>
      </c>
      <c r="F3" s="3"/>
    </row>
    <row r="4" spans="1:6" x14ac:dyDescent="0.25">
      <c r="A4" s="38" t="s">
        <v>50</v>
      </c>
      <c r="B4" s="39">
        <f>COUNTIF(Selections!$E$1:$AA$62,"Geoff Ogilvy")</f>
        <v>17</v>
      </c>
      <c r="C4" s="42" t="s">
        <v>124</v>
      </c>
      <c r="D4" s="51">
        <f t="shared" si="0"/>
        <v>0.27868852459016391</v>
      </c>
      <c r="E4" s="41" t="s">
        <v>175</v>
      </c>
      <c r="F4" s="3"/>
    </row>
    <row r="5" spans="1:6" x14ac:dyDescent="0.25">
      <c r="A5" s="38" t="s">
        <v>42</v>
      </c>
      <c r="B5" s="39">
        <f>COUNTIF(Selections!$E$1:$AA$62,"Padraig Harrington")</f>
        <v>13</v>
      </c>
      <c r="C5" s="42" t="s">
        <v>124</v>
      </c>
      <c r="D5" s="51">
        <f t="shared" si="0"/>
        <v>0.21311475409836064</v>
      </c>
      <c r="E5" s="41" t="s">
        <v>175</v>
      </c>
      <c r="F5" s="3"/>
    </row>
    <row r="6" spans="1:6" x14ac:dyDescent="0.25">
      <c r="A6" s="38" t="s">
        <v>40</v>
      </c>
      <c r="B6" s="39">
        <f>COUNTIF(Selections!$E$1:$AA$62,"Reteif Goosen")</f>
        <v>10</v>
      </c>
      <c r="C6" s="42" t="s">
        <v>124</v>
      </c>
      <c r="D6" s="51">
        <f t="shared" si="0"/>
        <v>0.16393442622950818</v>
      </c>
      <c r="E6" s="41" t="s">
        <v>321</v>
      </c>
      <c r="F6" s="3"/>
    </row>
    <row r="7" spans="1:6" x14ac:dyDescent="0.25">
      <c r="A7" s="38" t="s">
        <v>39</v>
      </c>
      <c r="B7" s="39">
        <f>COUNTIF(Selections!$E$1:$AA$62,"Sergio Garcia")</f>
        <v>6</v>
      </c>
      <c r="C7" s="42" t="s">
        <v>124</v>
      </c>
      <c r="D7" s="51">
        <f t="shared" si="0"/>
        <v>9.8360655737704916E-2</v>
      </c>
      <c r="E7" s="41" t="s">
        <v>320</v>
      </c>
      <c r="F7" s="3"/>
    </row>
    <row r="8" spans="1:6" x14ac:dyDescent="0.25">
      <c r="A8" s="38" t="s">
        <v>57</v>
      </c>
      <c r="B8" s="39">
        <f>COUNTIF(Selections!$E$1:$AA$62,"Vijay Singh")</f>
        <v>3</v>
      </c>
      <c r="C8" s="42" t="s">
        <v>124</v>
      </c>
      <c r="D8" s="51">
        <f t="shared" si="0"/>
        <v>4.9180327868852458E-2</v>
      </c>
      <c r="E8" s="41" t="s">
        <v>173</v>
      </c>
      <c r="F8" s="3"/>
    </row>
    <row r="9" spans="1:6" x14ac:dyDescent="0.25">
      <c r="A9" s="38" t="s">
        <v>36</v>
      </c>
      <c r="B9" s="39">
        <f>COUNTIF(Selections!$E$1:$AA$62,"Ernie Els")</f>
        <v>3</v>
      </c>
      <c r="C9" s="42" t="s">
        <v>124</v>
      </c>
      <c r="D9" s="51">
        <f t="shared" si="0"/>
        <v>4.9180327868852458E-2</v>
      </c>
      <c r="E9" s="41" t="s">
        <v>181</v>
      </c>
      <c r="F9" s="3"/>
    </row>
    <row r="10" spans="1:6" x14ac:dyDescent="0.25">
      <c r="A10" s="38" t="s">
        <v>56</v>
      </c>
      <c r="B10" s="39">
        <f>COUNTIF(Selections!$E$1:$AA$62,"Adam Scott")</f>
        <v>2</v>
      </c>
      <c r="C10" s="42" t="s">
        <v>124</v>
      </c>
      <c r="D10" s="51">
        <f t="shared" si="0"/>
        <v>3.2786885245901641E-2</v>
      </c>
      <c r="E10" s="41" t="s">
        <v>168</v>
      </c>
    </row>
    <row r="11" spans="1:6" ht="12.1" customHeight="1" x14ac:dyDescent="0.25">
      <c r="A11" s="38" t="s">
        <v>38</v>
      </c>
      <c r="B11" s="39">
        <f>COUNTIF(Selections!$E$1:$AA$62,"Jim Furyk")</f>
        <v>2</v>
      </c>
      <c r="C11" s="40" t="s">
        <v>124</v>
      </c>
      <c r="D11" s="51">
        <f t="shared" si="0"/>
        <v>3.2786885245901641E-2</v>
      </c>
      <c r="E11" s="41" t="s">
        <v>169</v>
      </c>
    </row>
    <row r="12" spans="1:6" x14ac:dyDescent="0.25">
      <c r="A12" s="23" t="s">
        <v>31</v>
      </c>
      <c r="B12" s="43">
        <f>COUNTIF(Selections!$E$1:$AA$62,"Stewart Cink")</f>
        <v>17</v>
      </c>
      <c r="C12" s="25" t="s">
        <v>126</v>
      </c>
      <c r="D12" s="52">
        <f t="shared" si="0"/>
        <v>0.27868852459016391</v>
      </c>
      <c r="E12" s="26" t="s">
        <v>173</v>
      </c>
      <c r="F12" s="3"/>
    </row>
    <row r="13" spans="1:6" x14ac:dyDescent="0.25">
      <c r="A13" s="23" t="s">
        <v>44</v>
      </c>
      <c r="B13" s="43">
        <f>COUNTIF(Selections!$E$1:$AA$62,"Zach Johnson")</f>
        <v>17</v>
      </c>
      <c r="C13" s="25" t="s">
        <v>126</v>
      </c>
      <c r="D13" s="52">
        <f t="shared" si="0"/>
        <v>0.27868852459016391</v>
      </c>
      <c r="E13" s="26" t="s">
        <v>181</v>
      </c>
      <c r="F13" s="3"/>
    </row>
    <row r="14" spans="1:6" x14ac:dyDescent="0.25">
      <c r="A14" s="23" t="s">
        <v>83</v>
      </c>
      <c r="B14" s="43">
        <f>COUNTIF(Selections!$E$1:$AA$62,"Camilo Vilegas")</f>
        <v>13</v>
      </c>
      <c r="C14" s="25" t="s">
        <v>126</v>
      </c>
      <c r="D14" s="52">
        <f t="shared" si="0"/>
        <v>0.21311475409836064</v>
      </c>
      <c r="E14" s="26" t="s">
        <v>322</v>
      </c>
    </row>
    <row r="15" spans="1:6" x14ac:dyDescent="0.25">
      <c r="A15" s="23" t="s">
        <v>111</v>
      </c>
      <c r="B15" s="43">
        <f>COUNTIF(Selections!$E$1:$AA$62,"Justin Rose")</f>
        <v>12</v>
      </c>
      <c r="C15" s="44" t="s">
        <v>126</v>
      </c>
      <c r="D15" s="52">
        <f t="shared" si="0"/>
        <v>0.19672131147540983</v>
      </c>
      <c r="E15" s="26" t="s">
        <v>173</v>
      </c>
    </row>
    <row r="16" spans="1:6" x14ac:dyDescent="0.25">
      <c r="A16" s="23" t="s">
        <v>62</v>
      </c>
      <c r="B16" s="43">
        <f>COUNTIF(Selections!$E$1:$AA$62,"Mike Weir")</f>
        <v>10</v>
      </c>
      <c r="C16" s="25" t="s">
        <v>126</v>
      </c>
      <c r="D16" s="52">
        <f t="shared" si="0"/>
        <v>0.16393442622950818</v>
      </c>
      <c r="E16" s="26" t="s">
        <v>172</v>
      </c>
    </row>
    <row r="17" spans="1:5" x14ac:dyDescent="0.25">
      <c r="A17" s="23" t="s">
        <v>28</v>
      </c>
      <c r="B17" s="43">
        <f>COUNTIF(Selections!$E$1:$AA$62,"Stuart Appleby")</f>
        <v>10</v>
      </c>
      <c r="C17" s="25" t="s">
        <v>126</v>
      </c>
      <c r="D17" s="52">
        <f t="shared" si="0"/>
        <v>0.16393442622950818</v>
      </c>
      <c r="E17" s="26" t="s">
        <v>182</v>
      </c>
    </row>
    <row r="18" spans="1:5" x14ac:dyDescent="0.25">
      <c r="A18" s="23" t="s">
        <v>35</v>
      </c>
      <c r="B18" s="43">
        <f>COUNTIF(Selections!$E$1:$AA$62,"Luke Donald")</f>
        <v>9</v>
      </c>
      <c r="C18" s="44" t="s">
        <v>126</v>
      </c>
      <c r="D18" s="52">
        <f t="shared" si="0"/>
        <v>0.14754098360655737</v>
      </c>
      <c r="E18" s="26" t="s">
        <v>325</v>
      </c>
    </row>
    <row r="19" spans="1:5" x14ac:dyDescent="0.25">
      <c r="A19" s="23" t="s">
        <v>60</v>
      </c>
      <c r="B19" s="43">
        <f>COUNTIF(Selections!$E$1:$AA$62,"Steve Stricker")</f>
        <v>8</v>
      </c>
      <c r="C19" s="25" t="s">
        <v>126</v>
      </c>
      <c r="D19" s="52">
        <f t="shared" si="0"/>
        <v>0.13114754098360656</v>
      </c>
      <c r="E19" s="26" t="s">
        <v>172</v>
      </c>
    </row>
    <row r="20" spans="1:5" x14ac:dyDescent="0.25">
      <c r="A20" s="23" t="s">
        <v>63</v>
      </c>
      <c r="B20" s="43">
        <f>COUNTIF(Selections!$E$1:$AA$62,"Lee Westwood")</f>
        <v>8</v>
      </c>
      <c r="C20" s="44" t="s">
        <v>126</v>
      </c>
      <c r="D20" s="52">
        <f t="shared" si="0"/>
        <v>0.13114754098360656</v>
      </c>
      <c r="E20" s="26" t="s">
        <v>324</v>
      </c>
    </row>
    <row r="21" spans="1:5" x14ac:dyDescent="0.25">
      <c r="A21" s="23" t="s">
        <v>43</v>
      </c>
      <c r="B21" s="43">
        <f>COUNTIF(Selections!$E$1:$AA$62,"Trevor Immelman")</f>
        <v>6</v>
      </c>
      <c r="C21" s="25" t="s">
        <v>126</v>
      </c>
      <c r="D21" s="52">
        <f t="shared" si="0"/>
        <v>9.8360655737704916E-2</v>
      </c>
      <c r="E21" s="26" t="s">
        <v>172</v>
      </c>
    </row>
    <row r="22" spans="1:5" x14ac:dyDescent="0.25">
      <c r="A22" s="23" t="s">
        <v>69</v>
      </c>
      <c r="B22" s="43">
        <f>COUNTIF(Selections!$E$1:$AA$62,"K. J. Choi")</f>
        <v>2</v>
      </c>
      <c r="C22" s="25" t="s">
        <v>126</v>
      </c>
      <c r="D22" s="52">
        <f t="shared" si="0"/>
        <v>3.2786885245901641E-2</v>
      </c>
      <c r="E22" s="26" t="s">
        <v>171</v>
      </c>
    </row>
    <row r="23" spans="1:5" x14ac:dyDescent="0.25">
      <c r="A23" s="23" t="s">
        <v>100</v>
      </c>
      <c r="B23" s="43">
        <f>COUNTIF(Selections!$E$1:$AA$62,"Aaron Baddeley")</f>
        <v>2</v>
      </c>
      <c r="C23" s="44" t="s">
        <v>126</v>
      </c>
      <c r="D23" s="52">
        <f t="shared" si="0"/>
        <v>3.2786885245901641E-2</v>
      </c>
      <c r="E23" s="26" t="s">
        <v>174</v>
      </c>
    </row>
    <row r="24" spans="1:5" x14ac:dyDescent="0.25">
      <c r="A24" s="23" t="s">
        <v>142</v>
      </c>
      <c r="B24" s="43">
        <f>COUNTIF(Selections!$E$1:$AA$62,"Andres Romero")</f>
        <v>2</v>
      </c>
      <c r="C24" s="25" t="s">
        <v>126</v>
      </c>
      <c r="D24" s="52">
        <f t="shared" si="0"/>
        <v>3.2786885245901641E-2</v>
      </c>
      <c r="E24" s="26" t="s">
        <v>171</v>
      </c>
    </row>
    <row r="25" spans="1:5" x14ac:dyDescent="0.25">
      <c r="A25" s="23" t="s">
        <v>285</v>
      </c>
      <c r="B25" s="43">
        <f>COUNTIF(Selections!$E$1:$AA$62,"Rocco Mediate")</f>
        <v>2</v>
      </c>
      <c r="C25" s="25" t="s">
        <v>126</v>
      </c>
      <c r="D25" s="52">
        <f t="shared" si="0"/>
        <v>3.2786885245901641E-2</v>
      </c>
      <c r="E25" s="26" t="s">
        <v>177</v>
      </c>
    </row>
    <row r="26" spans="1:5" x14ac:dyDescent="0.25">
      <c r="A26" s="23" t="s">
        <v>51</v>
      </c>
      <c r="B26" s="43">
        <f>COUNTIF(Selections!$E$1:$AA$62,"Jose Maria Olazabal")</f>
        <v>1</v>
      </c>
      <c r="C26" s="44" t="s">
        <v>126</v>
      </c>
      <c r="D26" s="52">
        <f t="shared" si="0"/>
        <v>1.6393442622950821E-2</v>
      </c>
      <c r="E26" s="26" t="s">
        <v>174</v>
      </c>
    </row>
    <row r="27" spans="1:5" x14ac:dyDescent="0.25">
      <c r="A27" s="23" t="s">
        <v>27</v>
      </c>
      <c r="B27" s="43">
        <f>COUNTIF(Selections!$E$1:$AA$62,"Stephen Ames")</f>
        <v>1</v>
      </c>
      <c r="C27" s="25" t="s">
        <v>126</v>
      </c>
      <c r="D27" s="52">
        <f t="shared" si="0"/>
        <v>1.6393442622950821E-2</v>
      </c>
      <c r="E27" s="26" t="s">
        <v>174</v>
      </c>
    </row>
    <row r="28" spans="1:5" x14ac:dyDescent="0.25">
      <c r="A28" s="23" t="s">
        <v>68</v>
      </c>
      <c r="B28" s="43">
        <f>COUNTIF(Selections!$E$1:$AA$62,"Miguel Jimenez")</f>
        <v>1</v>
      </c>
      <c r="C28" s="25" t="s">
        <v>126</v>
      </c>
      <c r="D28" s="52">
        <f t="shared" si="0"/>
        <v>1.6393442622950821E-2</v>
      </c>
      <c r="E28" s="26" t="s">
        <v>170</v>
      </c>
    </row>
    <row r="29" spans="1:5" x14ac:dyDescent="0.25">
      <c r="A29" s="23" t="s">
        <v>305</v>
      </c>
      <c r="B29" s="43">
        <f>COUNTIF(Selections!$E$1:$AA$62,"Chad Campbell")</f>
        <v>1</v>
      </c>
      <c r="C29" s="25" t="s">
        <v>126</v>
      </c>
      <c r="D29" s="52">
        <f t="shared" si="0"/>
        <v>1.6393442622950821E-2</v>
      </c>
      <c r="E29" s="26" t="s">
        <v>170</v>
      </c>
    </row>
    <row r="30" spans="1:5" x14ac:dyDescent="0.25">
      <c r="A30" s="21" t="s">
        <v>30</v>
      </c>
      <c r="B30" s="19">
        <f>COUNTIF(Selections!$E$1:$AA$62,"Paul Casey")</f>
        <v>30</v>
      </c>
      <c r="C30" s="20" t="s">
        <v>127</v>
      </c>
      <c r="D30" s="53">
        <f t="shared" si="0"/>
        <v>0.49180327868852458</v>
      </c>
      <c r="E30" s="37" t="s">
        <v>167</v>
      </c>
    </row>
    <row r="31" spans="1:5" x14ac:dyDescent="0.25">
      <c r="A31" s="21" t="s">
        <v>59</v>
      </c>
      <c r="B31" s="19">
        <f>COUNTIF(Selections!$E$1:$AA$62,"Henrik Stenson")</f>
        <v>12</v>
      </c>
      <c r="C31" s="20" t="s">
        <v>127</v>
      </c>
      <c r="D31" s="53">
        <f t="shared" si="0"/>
        <v>0.19672131147540983</v>
      </c>
      <c r="E31" s="37" t="s">
        <v>320</v>
      </c>
    </row>
    <row r="32" spans="1:5" x14ac:dyDescent="0.25">
      <c r="A32" s="21" t="s">
        <v>201</v>
      </c>
      <c r="B32" s="19">
        <f>COUNTIF(Selections!$E$1:$AA$62,"Anthony Kim")</f>
        <v>10</v>
      </c>
      <c r="C32" s="20" t="s">
        <v>127</v>
      </c>
      <c r="D32" s="53">
        <f t="shared" si="0"/>
        <v>0.16393442622950818</v>
      </c>
      <c r="E32" s="37" t="s">
        <v>322</v>
      </c>
    </row>
    <row r="33" spans="1:5" x14ac:dyDescent="0.25">
      <c r="A33" s="21" t="s">
        <v>54</v>
      </c>
      <c r="B33" s="19">
        <f>COUNTIF(Selections!$E$1:$AA$62,"Ian Poulter")</f>
        <v>9</v>
      </c>
      <c r="C33" s="20" t="s">
        <v>127</v>
      </c>
      <c r="D33" s="53">
        <f t="shared" si="0"/>
        <v>0.14754098360655737</v>
      </c>
      <c r="E33" s="37" t="s">
        <v>182</v>
      </c>
    </row>
    <row r="34" spans="1:5" x14ac:dyDescent="0.25">
      <c r="A34" s="21" t="s">
        <v>141</v>
      </c>
      <c r="B34" s="19">
        <f>COUNTIF(Selections!$E$1:$AA$62,"Sean O'Hair")</f>
        <v>9</v>
      </c>
      <c r="C34" s="20" t="s">
        <v>127</v>
      </c>
      <c r="D34" s="53">
        <f t="shared" ref="D34:D65" si="1">SUM(B34)/61</f>
        <v>0.14754098360655737</v>
      </c>
      <c r="E34" s="37" t="s">
        <v>176</v>
      </c>
    </row>
    <row r="35" spans="1:5" x14ac:dyDescent="0.25">
      <c r="A35" s="21" t="s">
        <v>242</v>
      </c>
      <c r="B35" s="19">
        <f>COUNTIF(Selections!$E$1:$Z$62,"Kenny Perry")</f>
        <v>8</v>
      </c>
      <c r="C35" s="20" t="s">
        <v>127</v>
      </c>
      <c r="D35" s="53">
        <f t="shared" si="1"/>
        <v>0.13114754098360656</v>
      </c>
      <c r="E35" s="37" t="s">
        <v>172</v>
      </c>
    </row>
    <row r="36" spans="1:5" x14ac:dyDescent="0.25">
      <c r="A36" s="21" t="s">
        <v>97</v>
      </c>
      <c r="B36" s="19">
        <f>COUNTIF(Selections!$E$1:$AA$62,"Robert Karlsson")</f>
        <v>7</v>
      </c>
      <c r="C36" s="20" t="s">
        <v>127</v>
      </c>
      <c r="D36" s="53">
        <f t="shared" si="1"/>
        <v>0.11475409836065574</v>
      </c>
      <c r="E36" s="37" t="s">
        <v>322</v>
      </c>
    </row>
    <row r="37" spans="1:5" x14ac:dyDescent="0.25">
      <c r="A37" s="21" t="s">
        <v>131</v>
      </c>
      <c r="B37" s="19">
        <f>COUNTIF(Selections!$E$1:$AA$62,"Justin Leonard")</f>
        <v>6</v>
      </c>
      <c r="C37" s="20" t="s">
        <v>127</v>
      </c>
      <c r="D37" s="53">
        <f t="shared" si="1"/>
        <v>9.8360655737704916E-2</v>
      </c>
      <c r="E37" s="37" t="s">
        <v>171</v>
      </c>
    </row>
    <row r="38" spans="1:5" x14ac:dyDescent="0.25">
      <c r="A38" s="21" t="s">
        <v>26</v>
      </c>
      <c r="B38" s="19">
        <f>COUNTIF(Selections!$E$1:$AA$62,"Robert Allenby")</f>
        <v>5</v>
      </c>
      <c r="C38" s="20" t="s">
        <v>127</v>
      </c>
      <c r="D38" s="53">
        <f t="shared" si="1"/>
        <v>8.1967213114754092E-2</v>
      </c>
      <c r="E38" s="37" t="s">
        <v>171</v>
      </c>
    </row>
    <row r="39" spans="1:5" x14ac:dyDescent="0.25">
      <c r="A39" s="18" t="s">
        <v>134</v>
      </c>
      <c r="B39" s="19">
        <f>COUNTIF(Selections!$E$1:$AA$62,"Hunter Mahan")</f>
        <v>4</v>
      </c>
      <c r="C39" s="20" t="s">
        <v>127</v>
      </c>
      <c r="D39" s="53">
        <f t="shared" si="1"/>
        <v>6.5573770491803282E-2</v>
      </c>
      <c r="E39" s="37" t="s">
        <v>326</v>
      </c>
    </row>
    <row r="40" spans="1:5" x14ac:dyDescent="0.25">
      <c r="A40" s="21" t="s">
        <v>79</v>
      </c>
      <c r="B40" s="19">
        <f>COUNTIF(Selections!$E$1:$AA$62,"Angel Cabrera")</f>
        <v>3</v>
      </c>
      <c r="C40" s="20" t="s">
        <v>127</v>
      </c>
      <c r="D40" s="53">
        <f t="shared" si="1"/>
        <v>4.9180327868852458E-2</v>
      </c>
      <c r="E40" s="37" t="s">
        <v>327</v>
      </c>
    </row>
    <row r="41" spans="1:5" x14ac:dyDescent="0.25">
      <c r="A41" s="21" t="s">
        <v>136</v>
      </c>
      <c r="B41" s="19">
        <f>COUNTIF(Selections!$E$1:$AA$62,"Steve Flesch")</f>
        <v>3</v>
      </c>
      <c r="C41" s="20" t="s">
        <v>127</v>
      </c>
      <c r="D41" s="53">
        <f t="shared" si="1"/>
        <v>4.9180327868852458E-2</v>
      </c>
      <c r="E41" s="37" t="s">
        <v>179</v>
      </c>
    </row>
    <row r="42" spans="1:5" x14ac:dyDescent="0.25">
      <c r="A42" s="21" t="s">
        <v>306</v>
      </c>
      <c r="B42" s="19">
        <f>COUNTIF(Selections!$E$1:$AA$62,"Jeev Mikha Singh")</f>
        <v>3</v>
      </c>
      <c r="C42" s="20" t="s">
        <v>127</v>
      </c>
      <c r="D42" s="53">
        <f t="shared" si="1"/>
        <v>4.9180327868852458E-2</v>
      </c>
      <c r="E42" s="37" t="s">
        <v>174</v>
      </c>
    </row>
    <row r="43" spans="1:5" x14ac:dyDescent="0.25">
      <c r="A43" s="21" t="s">
        <v>55</v>
      </c>
      <c r="B43" s="19">
        <f>COUNTIF(Selections!$E$1:$AA$62,"Rory Sabbatini")</f>
        <v>2</v>
      </c>
      <c r="C43" s="20" t="s">
        <v>127</v>
      </c>
      <c r="D43" s="53">
        <f t="shared" si="1"/>
        <v>3.2786885245901641E-2</v>
      </c>
      <c r="E43" s="37" t="s">
        <v>170</v>
      </c>
    </row>
    <row r="44" spans="1:5" x14ac:dyDescent="0.25">
      <c r="A44" s="21" t="s">
        <v>143</v>
      </c>
      <c r="B44" s="19">
        <f>COUNTIF(Selections!$E$1:$Z$62,"Brandt Snedeker")</f>
        <v>2</v>
      </c>
      <c r="C44" s="20" t="s">
        <v>127</v>
      </c>
      <c r="D44" s="53">
        <f t="shared" si="1"/>
        <v>3.2786885245901641E-2</v>
      </c>
      <c r="E44" s="37" t="s">
        <v>170</v>
      </c>
    </row>
    <row r="45" spans="1:5" x14ac:dyDescent="0.25">
      <c r="A45" s="18" t="s">
        <v>132</v>
      </c>
      <c r="B45" s="19">
        <f>COUNTIF(Selections!$E$1:$AA$62,"Bubba Watson")</f>
        <v>1</v>
      </c>
      <c r="C45" s="20" t="s">
        <v>127</v>
      </c>
      <c r="D45" s="53">
        <f t="shared" si="1"/>
        <v>1.6393442622950821E-2</v>
      </c>
      <c r="E45" s="37" t="s">
        <v>174</v>
      </c>
    </row>
    <row r="46" spans="1:5" x14ac:dyDescent="0.25">
      <c r="A46" s="21" t="s">
        <v>246</v>
      </c>
      <c r="B46" s="19">
        <f>COUNTIF(Selections!$E$1:$AA$62,"Greg Norman")</f>
        <v>1</v>
      </c>
      <c r="C46" s="20" t="s">
        <v>127</v>
      </c>
      <c r="D46" s="53">
        <f t="shared" si="1"/>
        <v>1.6393442622950821E-2</v>
      </c>
      <c r="E46" s="37" t="s">
        <v>179</v>
      </c>
    </row>
    <row r="47" spans="1:5" x14ac:dyDescent="0.25">
      <c r="A47" s="21" t="s">
        <v>213</v>
      </c>
      <c r="B47" s="19">
        <f>COUNTIF(Selections!$E$1:$AA$62,"Ben Curtis")</f>
        <v>1</v>
      </c>
      <c r="C47" s="20" t="s">
        <v>127</v>
      </c>
      <c r="D47" s="53">
        <f t="shared" si="1"/>
        <v>1.6393442622950821E-2</v>
      </c>
      <c r="E47" s="37" t="s">
        <v>180</v>
      </c>
    </row>
    <row r="48" spans="1:5" x14ac:dyDescent="0.25">
      <c r="A48" s="21" t="s">
        <v>137</v>
      </c>
      <c r="B48" s="19">
        <f>COUNTIF(Selections!$E$1:$Z$62,"Soren Hansen")</f>
        <v>1</v>
      </c>
      <c r="C48" s="20" t="s">
        <v>127</v>
      </c>
      <c r="D48" s="53">
        <f t="shared" si="1"/>
        <v>1.6393442622950821E-2</v>
      </c>
      <c r="E48" s="37" t="s">
        <v>328</v>
      </c>
    </row>
    <row r="49" spans="1:5" x14ac:dyDescent="0.25">
      <c r="A49" s="21" t="s">
        <v>32</v>
      </c>
      <c r="B49" s="19">
        <f>COUNTIF(Selections!$E$1:$AA$62,"Tim Clark")</f>
        <v>1</v>
      </c>
      <c r="C49" s="20" t="s">
        <v>127</v>
      </c>
      <c r="D49" s="53">
        <f t="shared" si="1"/>
        <v>1.6393442622950821E-2</v>
      </c>
      <c r="E49" s="37" t="s">
        <v>182</v>
      </c>
    </row>
    <row r="50" spans="1:5" x14ac:dyDescent="0.25">
      <c r="A50" s="21" t="s">
        <v>99</v>
      </c>
      <c r="B50" s="19">
        <f>COUNTIF(Selections!$E$1:$AA$62,"Shingo Katayama")</f>
        <v>1</v>
      </c>
      <c r="C50" s="20" t="s">
        <v>127</v>
      </c>
      <c r="D50" s="53">
        <f t="shared" si="1"/>
        <v>1.6393442622950821E-2</v>
      </c>
      <c r="E50" s="37" t="s">
        <v>183</v>
      </c>
    </row>
    <row r="51" spans="1:5" x14ac:dyDescent="0.25">
      <c r="A51" s="21" t="s">
        <v>307</v>
      </c>
      <c r="B51" s="19">
        <f>COUNTIF(Selections!$E$1:$AA$62,"Billy Mayfair")</f>
        <v>1</v>
      </c>
      <c r="C51" s="20" t="s">
        <v>127</v>
      </c>
      <c r="D51" s="53">
        <f t="shared" si="1"/>
        <v>1.6393442622950821E-2</v>
      </c>
      <c r="E51" s="37" t="s">
        <v>178</v>
      </c>
    </row>
    <row r="52" spans="1:5" x14ac:dyDescent="0.25">
      <c r="A52" s="21" t="s">
        <v>29</v>
      </c>
      <c r="B52" s="19">
        <f>COUNTIF(Selections!$E$1:$AA$62,"Michael Campbell")</f>
        <v>0</v>
      </c>
      <c r="C52" s="20" t="s">
        <v>127</v>
      </c>
      <c r="D52" s="53">
        <f t="shared" si="1"/>
        <v>0</v>
      </c>
      <c r="E52" s="37" t="s">
        <v>184</v>
      </c>
    </row>
    <row r="53" spans="1:5" x14ac:dyDescent="0.25">
      <c r="A53" s="18" t="s">
        <v>133</v>
      </c>
      <c r="B53" s="19">
        <f>COUNTIF(Selections!$E$1:$Z$62,"J. B. Holmes")</f>
        <v>0</v>
      </c>
      <c r="C53" s="20" t="s">
        <v>127</v>
      </c>
      <c r="D53" s="53">
        <f t="shared" si="1"/>
        <v>0</v>
      </c>
      <c r="E53" s="37" t="s">
        <v>184</v>
      </c>
    </row>
    <row r="54" spans="1:5" x14ac:dyDescent="0.25">
      <c r="A54" s="21" t="s">
        <v>45</v>
      </c>
      <c r="B54" s="19">
        <f>COUNTIF(Selections!$E$1:$Z$62,"Jerry Kelly")</f>
        <v>0</v>
      </c>
      <c r="C54" s="20" t="s">
        <v>127</v>
      </c>
      <c r="D54" s="53">
        <f t="shared" si="1"/>
        <v>0</v>
      </c>
      <c r="E54" s="37" t="s">
        <v>184</v>
      </c>
    </row>
    <row r="55" spans="1:5" x14ac:dyDescent="0.25">
      <c r="A55" s="21" t="s">
        <v>145</v>
      </c>
      <c r="B55" s="19">
        <f>COUNTIF(Selections!$E$1:$Z$62,"D. J. Trahan")</f>
        <v>0</v>
      </c>
      <c r="C55" s="20" t="s">
        <v>127</v>
      </c>
      <c r="D55" s="53">
        <f t="shared" si="1"/>
        <v>0</v>
      </c>
      <c r="E55" s="37" t="s">
        <v>179</v>
      </c>
    </row>
    <row r="56" spans="1:5" x14ac:dyDescent="0.25">
      <c r="A56" s="17" t="s">
        <v>139</v>
      </c>
      <c r="B56" s="15">
        <f>COUNTIF(Selections!$E$1:$Z$62,"Nick Watney")</f>
        <v>29</v>
      </c>
      <c r="C56" s="16" t="s">
        <v>123</v>
      </c>
      <c r="D56" s="54">
        <f t="shared" si="1"/>
        <v>0.47540983606557374</v>
      </c>
      <c r="E56" s="36" t="s">
        <v>322</v>
      </c>
    </row>
    <row r="57" spans="1:5" x14ac:dyDescent="0.25">
      <c r="A57" s="17" t="s">
        <v>312</v>
      </c>
      <c r="B57" s="15">
        <f>COUNTIF(Selections!$E$1:$Z$62,"Rory McIlroy")</f>
        <v>25</v>
      </c>
      <c r="C57" s="16" t="s">
        <v>123</v>
      </c>
      <c r="D57" s="54">
        <f t="shared" si="1"/>
        <v>0.4098360655737705</v>
      </c>
      <c r="E57" s="36" t="s">
        <v>323</v>
      </c>
    </row>
    <row r="58" spans="1:5" x14ac:dyDescent="0.25">
      <c r="A58" s="17" t="s">
        <v>135</v>
      </c>
      <c r="B58" s="15">
        <f>COUNTIF(Selections!$E$1:$Z$62,"Boo Weekley")</f>
        <v>14</v>
      </c>
      <c r="C58" s="16" t="s">
        <v>123</v>
      </c>
      <c r="D58" s="54">
        <f t="shared" si="1"/>
        <v>0.22950819672131148</v>
      </c>
      <c r="E58" s="36" t="s">
        <v>170</v>
      </c>
    </row>
    <row r="59" spans="1:5" x14ac:dyDescent="0.25">
      <c r="A59" s="17" t="s">
        <v>196</v>
      </c>
      <c r="B59" s="15">
        <f>COUNTIF(Selections!$E$1:$Z$62,"Carl Pettersson")</f>
        <v>8</v>
      </c>
      <c r="C59" s="16" t="s">
        <v>123</v>
      </c>
      <c r="D59" s="54">
        <f t="shared" si="1"/>
        <v>0.13114754098360656</v>
      </c>
      <c r="E59" s="36" t="s">
        <v>179</v>
      </c>
    </row>
    <row r="60" spans="1:5" x14ac:dyDescent="0.25">
      <c r="A60" s="17" t="s">
        <v>256</v>
      </c>
      <c r="B60" s="15">
        <f>COUNTIF(Selections!$E$1:$Z$62,"Dustin Johnson")</f>
        <v>6</v>
      </c>
      <c r="C60" s="16" t="s">
        <v>123</v>
      </c>
      <c r="D60" s="54">
        <f t="shared" si="1"/>
        <v>9.8360655737704916E-2</v>
      </c>
      <c r="E60" s="36" t="s">
        <v>184</v>
      </c>
    </row>
    <row r="61" spans="1:5" x14ac:dyDescent="0.25">
      <c r="A61" s="17" t="s">
        <v>202</v>
      </c>
      <c r="B61" s="15">
        <f>COUNTIF(Selections!$E$1:$Z$62,"Pat Perez")</f>
        <v>6</v>
      </c>
      <c r="C61" s="16" t="s">
        <v>123</v>
      </c>
      <c r="D61" s="54">
        <f t="shared" si="1"/>
        <v>9.8360655737704916E-2</v>
      </c>
      <c r="E61" s="36" t="s">
        <v>174</v>
      </c>
    </row>
    <row r="62" spans="1:5" x14ac:dyDescent="0.25">
      <c r="A62" s="17" t="s">
        <v>214</v>
      </c>
      <c r="B62" s="15">
        <f>COUNTIF(Selections!$E$1:$Z$62,"Ryuji Imada")</f>
        <v>5</v>
      </c>
      <c r="C62" s="16" t="s">
        <v>123</v>
      </c>
      <c r="D62" s="54">
        <f t="shared" si="1"/>
        <v>8.1967213114754092E-2</v>
      </c>
      <c r="E62" s="36" t="s">
        <v>174</v>
      </c>
    </row>
    <row r="63" spans="1:5" x14ac:dyDescent="0.25">
      <c r="A63" s="17" t="s">
        <v>41</v>
      </c>
      <c r="B63" s="15">
        <f>COUNTIF(Selections!$E$1:$Z$62,"Todd Hamilton")</f>
        <v>5</v>
      </c>
      <c r="C63" s="16" t="s">
        <v>123</v>
      </c>
      <c r="D63" s="54">
        <f t="shared" si="1"/>
        <v>8.1967213114754092E-2</v>
      </c>
      <c r="E63" s="36" t="s">
        <v>184</v>
      </c>
    </row>
    <row r="64" spans="1:5" x14ac:dyDescent="0.25">
      <c r="A64" s="17" t="s">
        <v>217</v>
      </c>
      <c r="B64" s="15">
        <f>COUNTIF(Selections!$E$1:$Z$62,"Y. E. Yang")</f>
        <v>4</v>
      </c>
      <c r="C64" s="16" t="s">
        <v>123</v>
      </c>
      <c r="D64" s="54">
        <f t="shared" si="1"/>
        <v>6.5573770491803282E-2</v>
      </c>
      <c r="E64" s="36" t="s">
        <v>185</v>
      </c>
    </row>
    <row r="65" spans="1:5" x14ac:dyDescent="0.25">
      <c r="A65" s="17" t="s">
        <v>247</v>
      </c>
      <c r="B65" s="15">
        <f>COUNTIF(Selections!$E$1:$Z$62,"Briny Baird")</f>
        <v>3</v>
      </c>
      <c r="C65" s="16" t="s">
        <v>123</v>
      </c>
      <c r="D65" s="54">
        <f t="shared" si="1"/>
        <v>4.9180327868852458E-2</v>
      </c>
      <c r="E65" s="36" t="s">
        <v>185</v>
      </c>
    </row>
    <row r="66" spans="1:5" x14ac:dyDescent="0.25">
      <c r="A66" s="17" t="s">
        <v>240</v>
      </c>
      <c r="B66" s="15">
        <f>COUNTIF(Selections!$E$1:$Z$62,"Graeme McDowell")</f>
        <v>3</v>
      </c>
      <c r="C66" s="16" t="s">
        <v>123</v>
      </c>
      <c r="D66" s="54">
        <f t="shared" ref="D66:D99" si="2">SUM(B66)/61</f>
        <v>4.9180327868852458E-2</v>
      </c>
      <c r="E66" s="36" t="s">
        <v>174</v>
      </c>
    </row>
    <row r="67" spans="1:5" x14ac:dyDescent="0.25">
      <c r="A67" s="17" t="s">
        <v>195</v>
      </c>
      <c r="B67" s="15">
        <f>COUNTIF(Selections!$E$1:$Z$62,"Oliver Wilson")</f>
        <v>3</v>
      </c>
      <c r="C67" s="16" t="s">
        <v>123</v>
      </c>
      <c r="D67" s="54">
        <f t="shared" si="2"/>
        <v>4.9180327868852458E-2</v>
      </c>
      <c r="E67" s="36" t="s">
        <v>327</v>
      </c>
    </row>
    <row r="68" spans="1:5" x14ac:dyDescent="0.25">
      <c r="A68" s="17" t="s">
        <v>265</v>
      </c>
      <c r="B68" s="15">
        <f>COUNTIF(Selections!$E$1:$Z$62,"Ryo Ishikawa")</f>
        <v>3</v>
      </c>
      <c r="C68" s="16" t="s">
        <v>123</v>
      </c>
      <c r="D68" s="54">
        <f t="shared" si="2"/>
        <v>4.9180327868852458E-2</v>
      </c>
      <c r="E68" s="36" t="s">
        <v>177</v>
      </c>
    </row>
    <row r="69" spans="1:5" x14ac:dyDescent="0.25">
      <c r="A69" s="17" t="s">
        <v>138</v>
      </c>
      <c r="B69" s="15">
        <f>COUNTIF(Selections!$E$1:$Z$62,"Martin Kaymer")</f>
        <v>2</v>
      </c>
      <c r="C69" s="16" t="s">
        <v>123</v>
      </c>
      <c r="D69" s="54">
        <f t="shared" si="2"/>
        <v>3.2786885245901641E-2</v>
      </c>
      <c r="E69" s="36" t="s">
        <v>174</v>
      </c>
    </row>
    <row r="70" spans="1:5" x14ac:dyDescent="0.25">
      <c r="A70" s="17" t="s">
        <v>224</v>
      </c>
      <c r="B70" s="15">
        <f>COUNTIF(Selections!$E$1:$Z$62,"Matthew Goggin")</f>
        <v>1</v>
      </c>
      <c r="C70" s="16" t="s">
        <v>123</v>
      </c>
      <c r="D70" s="54">
        <f t="shared" si="2"/>
        <v>1.6393442622950821E-2</v>
      </c>
      <c r="E70" s="36" t="s">
        <v>185</v>
      </c>
    </row>
    <row r="71" spans="1:5" x14ac:dyDescent="0.25">
      <c r="A71" s="17" t="s">
        <v>293</v>
      </c>
      <c r="B71" s="15">
        <f>COUNTIF(Selections!$E$1:$Z$62,"John Merrick")</f>
        <v>1</v>
      </c>
      <c r="C71" s="16" t="s">
        <v>123</v>
      </c>
      <c r="D71" s="54">
        <f t="shared" si="2"/>
        <v>1.6393442622950821E-2</v>
      </c>
      <c r="E71" s="36" t="s">
        <v>178</v>
      </c>
    </row>
    <row r="72" spans="1:5" x14ac:dyDescent="0.25">
      <c r="A72" s="17" t="s">
        <v>300</v>
      </c>
      <c r="B72" s="15">
        <f>COUNTIF(Selections!$E$1:$Z$62,"Louis Oosthuizen")</f>
        <v>1</v>
      </c>
      <c r="C72" s="16" t="s">
        <v>123</v>
      </c>
      <c r="D72" s="54">
        <f t="shared" si="2"/>
        <v>1.6393442622950821E-2</v>
      </c>
      <c r="E72" s="36" t="s">
        <v>189</v>
      </c>
    </row>
    <row r="73" spans="1:5" x14ac:dyDescent="0.25">
      <c r="A73" s="17" t="s">
        <v>144</v>
      </c>
      <c r="B73" s="15">
        <f>COUNTIF(Selections!$E$1:$Z$62,"Richard Steme")</f>
        <v>1</v>
      </c>
      <c r="C73" s="16" t="s">
        <v>123</v>
      </c>
      <c r="D73" s="54">
        <f t="shared" si="2"/>
        <v>1.6393442622950821E-2</v>
      </c>
      <c r="E73" s="36" t="s">
        <v>184</v>
      </c>
    </row>
    <row r="74" spans="1:5" x14ac:dyDescent="0.25">
      <c r="A74" s="17" t="s">
        <v>313</v>
      </c>
      <c r="B74" s="15">
        <f>COUNTIF(Selections!$E$1:$Z$62,"Alvaro Quiros")</f>
        <v>1</v>
      </c>
      <c r="C74" s="16" t="s">
        <v>123</v>
      </c>
      <c r="D74" s="54">
        <f t="shared" si="2"/>
        <v>1.6393442622950821E-2</v>
      </c>
      <c r="E74" s="36" t="s">
        <v>186</v>
      </c>
    </row>
    <row r="75" spans="1:5" x14ac:dyDescent="0.25">
      <c r="A75" s="17" t="s">
        <v>315</v>
      </c>
      <c r="B75" s="15">
        <f>COUNTIF(Selections!$E$1:$Z$62,"Kevin Sutherland")</f>
        <v>1</v>
      </c>
      <c r="C75" s="16" t="s">
        <v>123</v>
      </c>
      <c r="D75" s="54">
        <f t="shared" si="2"/>
        <v>1.6393442622950821E-2</v>
      </c>
      <c r="E75" s="36" t="s">
        <v>178</v>
      </c>
    </row>
    <row r="76" spans="1:5" x14ac:dyDescent="0.25">
      <c r="A76" s="17" t="s">
        <v>308</v>
      </c>
      <c r="B76" s="15">
        <f>COUNTIF(Selections!$E$1:$Z$62,"Ken Duke")</f>
        <v>0</v>
      </c>
      <c r="C76" s="16" t="s">
        <v>123</v>
      </c>
      <c r="D76" s="54">
        <f t="shared" si="2"/>
        <v>0</v>
      </c>
      <c r="E76" s="36" t="s">
        <v>184</v>
      </c>
    </row>
    <row r="77" spans="1:5" x14ac:dyDescent="0.25">
      <c r="A77" s="17" t="s">
        <v>309</v>
      </c>
      <c r="B77" s="15">
        <f>COUNTIF(Selections!$E$1:$Z$62,"Ross Fisher")</f>
        <v>0</v>
      </c>
      <c r="C77" s="16" t="s">
        <v>123</v>
      </c>
      <c r="D77" s="54">
        <f t="shared" si="2"/>
        <v>0</v>
      </c>
      <c r="E77" s="36" t="s">
        <v>170</v>
      </c>
    </row>
    <row r="78" spans="1:5" x14ac:dyDescent="0.25">
      <c r="A78" s="17" t="s">
        <v>310</v>
      </c>
      <c r="B78" s="15">
        <f>COUNTIF(Selections!$E$1:$Z$62,"Dudley Hart")</f>
        <v>0</v>
      </c>
      <c r="C78" s="16" t="s">
        <v>123</v>
      </c>
      <c r="D78" s="54">
        <f t="shared" si="2"/>
        <v>0</v>
      </c>
      <c r="E78" s="36" t="s">
        <v>185</v>
      </c>
    </row>
    <row r="79" spans="1:5" x14ac:dyDescent="0.25">
      <c r="A79" s="17" t="s">
        <v>311</v>
      </c>
      <c r="B79" s="15">
        <f>COUNTIF(Selections!$E$1:$Z$62,"Soren Kieldsen")</f>
        <v>0</v>
      </c>
      <c r="C79" s="16" t="s">
        <v>123</v>
      </c>
      <c r="D79" s="54">
        <f t="shared" si="2"/>
        <v>0</v>
      </c>
      <c r="E79" s="36" t="s">
        <v>329</v>
      </c>
    </row>
    <row r="80" spans="1:5" x14ac:dyDescent="0.25">
      <c r="A80" s="17" t="s">
        <v>140</v>
      </c>
      <c r="B80" s="15">
        <f>COUNTIF(Selections!$E$1:$Z$62,"Prayad Marksaeng")</f>
        <v>0</v>
      </c>
      <c r="C80" s="16" t="s">
        <v>123</v>
      </c>
      <c r="D80" s="54">
        <f t="shared" si="2"/>
        <v>0</v>
      </c>
      <c r="E80" s="36" t="s">
        <v>177</v>
      </c>
    </row>
    <row r="81" spans="1:5" x14ac:dyDescent="0.25">
      <c r="A81" s="17" t="s">
        <v>314</v>
      </c>
      <c r="B81" s="15">
        <f>COUNTIF(Selections!$E$1:$Z$62,"Chez Reavie")</f>
        <v>0</v>
      </c>
      <c r="C81" s="16" t="s">
        <v>123</v>
      </c>
      <c r="D81" s="54">
        <f t="shared" si="2"/>
        <v>0</v>
      </c>
      <c r="E81" s="36" t="s">
        <v>184</v>
      </c>
    </row>
    <row r="82" spans="1:5" x14ac:dyDescent="0.25">
      <c r="A82" s="17" t="s">
        <v>316</v>
      </c>
      <c r="B82" s="15">
        <f>COUNTIF(Selections!$E$1:$Z$62,"Lin Wen-Tang")</f>
        <v>0</v>
      </c>
      <c r="C82" s="16" t="s">
        <v>123</v>
      </c>
      <c r="D82" s="54">
        <f t="shared" si="2"/>
        <v>0</v>
      </c>
      <c r="E82" s="36" t="s">
        <v>178</v>
      </c>
    </row>
    <row r="83" spans="1:5" x14ac:dyDescent="0.25">
      <c r="A83" s="31" t="s">
        <v>33</v>
      </c>
      <c r="B83" s="32">
        <f>COUNTIF(Selections!$E$1:$AA$62,"Fred Couples")</f>
        <v>57</v>
      </c>
      <c r="C83" s="33" t="s">
        <v>125</v>
      </c>
      <c r="D83" s="55">
        <f t="shared" si="2"/>
        <v>0.93442622950819676</v>
      </c>
      <c r="E83" s="34" t="s">
        <v>173</v>
      </c>
    </row>
    <row r="84" spans="1:5" x14ac:dyDescent="0.25">
      <c r="A84" s="31" t="s">
        <v>46</v>
      </c>
      <c r="B84" s="32">
        <f>COUNTIF(Selections!$E$1:$AA$62,"Bernard Langer")</f>
        <v>35</v>
      </c>
      <c r="C84" s="33" t="s">
        <v>125</v>
      </c>
      <c r="D84" s="55">
        <f t="shared" si="2"/>
        <v>0.57377049180327866</v>
      </c>
      <c r="E84" s="34" t="s">
        <v>178</v>
      </c>
    </row>
    <row r="85" spans="1:5" x14ac:dyDescent="0.25">
      <c r="A85" s="31" t="s">
        <v>52</v>
      </c>
      <c r="B85" s="32">
        <f>COUNTIF(Selections!$E$1:$AA$62,"Mark O'Meara")</f>
        <v>19</v>
      </c>
      <c r="C85" s="33" t="s">
        <v>125</v>
      </c>
      <c r="D85" s="55">
        <f t="shared" si="2"/>
        <v>0.31147540983606559</v>
      </c>
      <c r="E85" s="34" t="s">
        <v>186</v>
      </c>
    </row>
    <row r="86" spans="1:5" x14ac:dyDescent="0.25">
      <c r="A86" s="31" t="s">
        <v>61</v>
      </c>
      <c r="B86" s="32">
        <f>COUNTIF(Selections!$E$1:$AA$62,"Tom Watson")</f>
        <v>3</v>
      </c>
      <c r="C86" s="35" t="s">
        <v>125</v>
      </c>
      <c r="D86" s="55">
        <f t="shared" si="2"/>
        <v>4.9180327868852458E-2</v>
      </c>
      <c r="E86" s="34" t="s">
        <v>187</v>
      </c>
    </row>
    <row r="87" spans="1:5" x14ac:dyDescent="0.25">
      <c r="A87" s="31" t="s">
        <v>58</v>
      </c>
      <c r="B87" s="32">
        <f>COUNTIF(Selections!$E$1:$AA$62,"Craig Stadler")</f>
        <v>3</v>
      </c>
      <c r="C87" s="35" t="s">
        <v>125</v>
      </c>
      <c r="D87" s="55">
        <f t="shared" si="2"/>
        <v>4.9180327868852458E-2</v>
      </c>
      <c r="E87" s="34" t="s">
        <v>188</v>
      </c>
    </row>
    <row r="88" spans="1:5" x14ac:dyDescent="0.25">
      <c r="A88" s="31" t="s">
        <v>65</v>
      </c>
      <c r="B88" s="32">
        <f>COUNTIF(Selections!$E$1:$AA$62,"Ian Woosnam")</f>
        <v>3</v>
      </c>
      <c r="C88" s="33" t="s">
        <v>125</v>
      </c>
      <c r="D88" s="55">
        <f t="shared" si="2"/>
        <v>4.9180327868852458E-2</v>
      </c>
      <c r="E88" s="34" t="s">
        <v>188</v>
      </c>
    </row>
    <row r="89" spans="1:5" x14ac:dyDescent="0.25">
      <c r="A89" s="31" t="s">
        <v>34</v>
      </c>
      <c r="B89" s="32">
        <f>COUNTIF(Selections!$E$1:$AA$62,"Ben Crenshaw")</f>
        <v>2</v>
      </c>
      <c r="C89" s="33" t="s">
        <v>125</v>
      </c>
      <c r="D89" s="55">
        <f t="shared" si="2"/>
        <v>3.2786885245901641E-2</v>
      </c>
      <c r="E89" s="34" t="s">
        <v>330</v>
      </c>
    </row>
    <row r="90" spans="1:5" x14ac:dyDescent="0.25">
      <c r="A90" s="31" t="s">
        <v>49</v>
      </c>
      <c r="B90" s="32">
        <f>COUNTIF(Selections!$E$1:$AA$62,"Larry Mize")</f>
        <v>0</v>
      </c>
      <c r="C90" s="33" t="s">
        <v>125</v>
      </c>
      <c r="D90" s="55">
        <f t="shared" si="2"/>
        <v>0</v>
      </c>
      <c r="E90" s="34" t="s">
        <v>190</v>
      </c>
    </row>
    <row r="91" spans="1:5" x14ac:dyDescent="0.25">
      <c r="A91" s="31" t="s">
        <v>66</v>
      </c>
      <c r="B91" s="32">
        <f>COUNTIF(Selections!$E$1:$AA$62,"Fuzzy Zoeller")</f>
        <v>0</v>
      </c>
      <c r="C91" s="35" t="s">
        <v>125</v>
      </c>
      <c r="D91" s="55">
        <f t="shared" si="2"/>
        <v>0</v>
      </c>
      <c r="E91" s="34" t="s">
        <v>331</v>
      </c>
    </row>
    <row r="92" spans="1:5" x14ac:dyDescent="0.25">
      <c r="A92" s="31" t="s">
        <v>53</v>
      </c>
      <c r="B92" s="32">
        <f>COUNTIF(Selections!$E$1:$AA$62,"Gary Player")</f>
        <v>0</v>
      </c>
      <c r="C92" s="35" t="s">
        <v>125</v>
      </c>
      <c r="D92" s="55">
        <f t="shared" si="2"/>
        <v>0</v>
      </c>
      <c r="E92" s="34" t="s">
        <v>332</v>
      </c>
    </row>
    <row r="93" spans="1:5" x14ac:dyDescent="0.25">
      <c r="A93" s="31" t="s">
        <v>37</v>
      </c>
      <c r="B93" s="32">
        <f>COUNTIF(Selections!$E$1:$AA$62,"Raymond Floyd")</f>
        <v>0</v>
      </c>
      <c r="C93" s="35" t="s">
        <v>125</v>
      </c>
      <c r="D93" s="55">
        <f t="shared" si="2"/>
        <v>0</v>
      </c>
      <c r="E93" s="34" t="s">
        <v>187</v>
      </c>
    </row>
    <row r="94" spans="1:5" x14ac:dyDescent="0.25">
      <c r="A94" s="31" t="s">
        <v>47</v>
      </c>
      <c r="B94" s="32">
        <f>COUNTIF(Selections!$E$1:$AA$62,"Sandy Lyle")</f>
        <v>0</v>
      </c>
      <c r="C94" s="33" t="s">
        <v>125</v>
      </c>
      <c r="D94" s="55">
        <f t="shared" si="2"/>
        <v>0</v>
      </c>
      <c r="E94" s="34" t="s">
        <v>330</v>
      </c>
    </row>
    <row r="95" spans="1:5" x14ac:dyDescent="0.25">
      <c r="A95" s="23" t="s">
        <v>197</v>
      </c>
      <c r="B95" s="24">
        <f>COUNTIF(Selections!$E$1:$AA$62,"Danny Lee")</f>
        <v>47</v>
      </c>
      <c r="C95" s="25" t="s">
        <v>128</v>
      </c>
      <c r="D95" s="52">
        <f t="shared" si="2"/>
        <v>0.77049180327868849</v>
      </c>
      <c r="E95" s="26" t="s">
        <v>189</v>
      </c>
    </row>
    <row r="96" spans="1:5" x14ac:dyDescent="0.25">
      <c r="A96" s="23" t="s">
        <v>207</v>
      </c>
      <c r="B96" s="24">
        <f>COUNTIF(Selections!$E$1:$AA$62,"Drew Kittleson")</f>
        <v>24</v>
      </c>
      <c r="C96" s="25" t="s">
        <v>128</v>
      </c>
      <c r="D96" s="52">
        <f t="shared" si="2"/>
        <v>0.39344262295081966</v>
      </c>
      <c r="E96" s="26" t="s">
        <v>333</v>
      </c>
    </row>
    <row r="97" spans="1:5" x14ac:dyDescent="0.25">
      <c r="A97" s="23" t="s">
        <v>208</v>
      </c>
      <c r="B97" s="24">
        <f>COUNTIF(Selections!$E$1:$AA$62,"Reinier Saxton")</f>
        <v>20</v>
      </c>
      <c r="C97" s="25" t="s">
        <v>128</v>
      </c>
      <c r="D97" s="52">
        <f t="shared" si="2"/>
        <v>0.32786885245901637</v>
      </c>
      <c r="E97" s="26" t="s">
        <v>334</v>
      </c>
    </row>
    <row r="98" spans="1:5" x14ac:dyDescent="0.25">
      <c r="A98" s="23" t="s">
        <v>198</v>
      </c>
      <c r="B98" s="24">
        <f>COUNTIF(Selections!$E$1:$AA$62,"Steve Wilson")</f>
        <v>17</v>
      </c>
      <c r="C98" s="25" t="s">
        <v>128</v>
      </c>
      <c r="D98" s="52">
        <f t="shared" si="2"/>
        <v>0.27868852459016391</v>
      </c>
      <c r="E98" s="26" t="s">
        <v>334</v>
      </c>
    </row>
    <row r="99" spans="1:5" ht="14.3" thickBot="1" x14ac:dyDescent="0.3">
      <c r="A99" s="27" t="s">
        <v>204</v>
      </c>
      <c r="B99" s="28">
        <f>COUNTIF(Selections!$E$1:$AA$62,"Jack Newman")</f>
        <v>14</v>
      </c>
      <c r="C99" s="29" t="s">
        <v>128</v>
      </c>
      <c r="D99" s="56">
        <f t="shared" si="2"/>
        <v>0.22950819672131148</v>
      </c>
      <c r="E99" s="30" t="s">
        <v>335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Selections</vt:lpstr>
      <vt:lpstr>Totals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2007-04-06T13:57:41Z</cp:lastPrinted>
  <dcterms:created xsi:type="dcterms:W3CDTF">2007-03-20T03:18:45Z</dcterms:created>
  <dcterms:modified xsi:type="dcterms:W3CDTF">2019-11-11T06:43:52Z</dcterms:modified>
</cp:coreProperties>
</file>