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1C3F9E72-CB38-4F8F-8590-E010680102F0}" xr6:coauthVersionLast="45" xr6:coauthVersionMax="45" xr10:uidLastSave="{00000000-0000-0000-0000-000000000000}"/>
  <bookViews>
    <workbookView xWindow="8341" yWindow="1848" windowWidth="17728" windowHeight="6398"/>
  </bookViews>
  <sheets>
    <sheet name="Selections" sheetId="1" r:id="rId1"/>
    <sheet name="Totals" sheetId="2" r:id="rId2"/>
  </sheets>
  <definedNames>
    <definedName name="_xlnm._FilterDatabase" localSheetId="0" hidden="1">Selections!$A$1:$AC$101</definedName>
    <definedName name="OLE_LINK1" localSheetId="0">Selections!$C$22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E75" i="1"/>
  <c r="E33" i="1"/>
  <c r="E88" i="1"/>
  <c r="E101" i="1"/>
  <c r="E46" i="1"/>
  <c r="E27" i="1"/>
  <c r="E22" i="1"/>
  <c r="E62" i="1"/>
  <c r="E6" i="1"/>
  <c r="E15" i="1"/>
  <c r="E45" i="1"/>
  <c r="E11" i="1"/>
  <c r="E64" i="1"/>
  <c r="E91" i="1"/>
  <c r="E71" i="1"/>
  <c r="E30" i="1"/>
  <c r="E18" i="1"/>
  <c r="E95" i="1"/>
  <c r="E43" i="1"/>
  <c r="E94" i="1"/>
  <c r="E67" i="1"/>
  <c r="E54" i="1"/>
  <c r="E84" i="1"/>
  <c r="E77" i="1"/>
  <c r="C50" i="2"/>
  <c r="H24" i="2"/>
  <c r="E83" i="1"/>
  <c r="E20" i="1"/>
  <c r="H41" i="2"/>
  <c r="H43" i="2"/>
  <c r="H46" i="2"/>
  <c r="H44" i="2"/>
  <c r="H45" i="2"/>
  <c r="H42" i="2"/>
  <c r="H35" i="2"/>
  <c r="H31" i="2"/>
  <c r="H32" i="2"/>
  <c r="H40" i="2"/>
  <c r="H34" i="2"/>
  <c r="H33" i="2"/>
  <c r="H39" i="2"/>
  <c r="H37" i="2"/>
  <c r="H30" i="2"/>
  <c r="H38" i="2"/>
  <c r="H36" i="2"/>
  <c r="H29" i="2"/>
  <c r="H6" i="2"/>
  <c r="H5" i="2"/>
  <c r="H13" i="2"/>
  <c r="H20" i="2"/>
  <c r="H28" i="2"/>
  <c r="H9" i="2"/>
  <c r="H7" i="2"/>
  <c r="H12" i="2"/>
  <c r="H19" i="2"/>
  <c r="H8" i="2"/>
  <c r="H11" i="2"/>
  <c r="H4" i="2"/>
  <c r="H15" i="2"/>
  <c r="H3" i="2"/>
  <c r="H22" i="2"/>
  <c r="H23" i="2"/>
  <c r="H27" i="2"/>
  <c r="H18" i="2"/>
  <c r="H16" i="2"/>
  <c r="H26" i="2"/>
  <c r="H14" i="2"/>
  <c r="H17" i="2"/>
  <c r="H10" i="2"/>
  <c r="H25" i="2"/>
  <c r="H21" i="2"/>
  <c r="C39" i="2"/>
  <c r="C52" i="2"/>
  <c r="C45" i="2"/>
  <c r="C51" i="2"/>
  <c r="C44" i="2"/>
  <c r="C42" i="2"/>
  <c r="C49" i="2"/>
  <c r="C34" i="2"/>
  <c r="C58" i="2"/>
  <c r="C40" i="2"/>
  <c r="C48" i="2"/>
  <c r="C38" i="2"/>
  <c r="C33" i="2"/>
  <c r="C57" i="2"/>
  <c r="C54" i="2"/>
  <c r="C53" i="2"/>
  <c r="C47" i="2"/>
  <c r="C35" i="2"/>
  <c r="C56" i="2"/>
  <c r="C55" i="2"/>
  <c r="C37" i="2"/>
  <c r="C41" i="2"/>
  <c r="C43" i="2"/>
  <c r="C36" i="2"/>
  <c r="C46" i="2"/>
  <c r="C18" i="2"/>
  <c r="C15" i="2"/>
  <c r="C22" i="2"/>
  <c r="C19" i="2"/>
  <c r="C25" i="2"/>
  <c r="C24" i="2"/>
  <c r="C17" i="2"/>
  <c r="C16" i="2"/>
  <c r="C32" i="2"/>
  <c r="C21" i="2"/>
  <c r="C27" i="2"/>
  <c r="C26" i="2"/>
  <c r="C20" i="2"/>
  <c r="C31" i="2"/>
  <c r="C30" i="2"/>
  <c r="C23" i="2"/>
  <c r="C29" i="2"/>
  <c r="C28" i="2"/>
  <c r="C4" i="2"/>
  <c r="C5" i="2"/>
  <c r="C12" i="2"/>
  <c r="C3" i="2"/>
  <c r="C8" i="2"/>
  <c r="C10" i="2"/>
  <c r="C6" i="2"/>
  <c r="C7" i="2"/>
  <c r="C14" i="2"/>
  <c r="C13" i="2"/>
  <c r="C9" i="2"/>
  <c r="C11" i="2"/>
  <c r="E35" i="1"/>
  <c r="E61" i="1"/>
  <c r="E25" i="1"/>
  <c r="E7" i="1"/>
  <c r="E23" i="1"/>
  <c r="E74" i="1"/>
  <c r="E56" i="1"/>
  <c r="E24" i="1"/>
  <c r="E3" i="1"/>
  <c r="E79" i="1"/>
  <c r="E12" i="1"/>
  <c r="E66" i="1"/>
  <c r="E100" i="1"/>
  <c r="E72" i="1"/>
  <c r="E4" i="1"/>
  <c r="E44" i="1"/>
  <c r="E98" i="1"/>
  <c r="E73" i="1"/>
  <c r="E57" i="1"/>
  <c r="E90" i="1"/>
  <c r="E5" i="1"/>
  <c r="E41" i="1"/>
  <c r="E82" i="1"/>
  <c r="E37" i="1"/>
  <c r="E78" i="1"/>
  <c r="E38" i="1"/>
  <c r="E50" i="1"/>
  <c r="E19" i="1"/>
  <c r="E47" i="1"/>
  <c r="E29" i="1"/>
  <c r="E86" i="1"/>
  <c r="E89" i="1"/>
  <c r="E8" i="1"/>
  <c r="E99" i="1"/>
  <c r="E53" i="1"/>
  <c r="E63" i="1"/>
  <c r="E55" i="1"/>
  <c r="E81" i="1"/>
  <c r="E65" i="1"/>
  <c r="E97" i="1"/>
  <c r="E96" i="1"/>
  <c r="E70" i="1"/>
  <c r="E42" i="1"/>
  <c r="E48" i="1"/>
  <c r="E31" i="1"/>
  <c r="E21" i="1"/>
  <c r="E93" i="1"/>
  <c r="E17" i="1"/>
  <c r="E14" i="1"/>
  <c r="E92" i="1"/>
  <c r="E49" i="1"/>
  <c r="E68" i="1"/>
  <c r="E80" i="1"/>
  <c r="E16" i="1"/>
  <c r="E85" i="1"/>
  <c r="E59" i="1"/>
  <c r="E60" i="1"/>
  <c r="E40" i="1"/>
  <c r="E69" i="1"/>
  <c r="E52" i="1"/>
  <c r="E76" i="1"/>
  <c r="E10" i="1"/>
  <c r="E13" i="1"/>
  <c r="E39" i="1"/>
  <c r="E9" i="1"/>
  <c r="E28" i="1"/>
  <c r="E87" i="1"/>
  <c r="E2" i="1"/>
  <c r="E26" i="1"/>
  <c r="E32" i="1"/>
  <c r="E36" i="1"/>
  <c r="E34" i="1"/>
  <c r="E51" i="1"/>
</calcChain>
</file>

<file path=xl/sharedStrings.xml><?xml version="1.0" encoding="utf-8"?>
<sst xmlns="http://schemas.openxmlformats.org/spreadsheetml/2006/main" count="1837" uniqueCount="448">
  <si>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</si>
  <si>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</si>
  <si>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</si>
  <si>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</si>
  <si>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</si>
  <si>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</si>
  <si>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</si>
  <si>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</si>
  <si>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</si>
  <si>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</si>
  <si>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</si>
  <si>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</si>
  <si>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</si>
  <si>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</si>
  <si>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</si>
  <si>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</si>
  <si>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</si>
  <si>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</si>
  <si>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</si>
  <si>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</si>
  <si>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</si>
  <si>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</si>
  <si>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>E-Mail</t>
  </si>
  <si>
    <t>Who collects?</t>
  </si>
  <si>
    <t>D</t>
  </si>
  <si>
    <t>A</t>
  </si>
  <si>
    <t>E</t>
  </si>
  <si>
    <t>B</t>
  </si>
  <si>
    <t>C</t>
  </si>
  <si>
    <t>F</t>
  </si>
  <si>
    <t>Group</t>
  </si>
  <si>
    <t>Participant</t>
  </si>
  <si>
    <t>Hunter Mahan</t>
  </si>
  <si>
    <t>Martin Kaymer</t>
  </si>
  <si>
    <t>Nick Watney</t>
  </si>
  <si>
    <t>Sean O'Hair</t>
  </si>
  <si>
    <t>10-1</t>
  </si>
  <si>
    <t>20-1</t>
  </si>
  <si>
    <t>60-1</t>
  </si>
  <si>
    <t>100-1</t>
  </si>
  <si>
    <t>80-1</t>
  </si>
  <si>
    <t>50-1</t>
  </si>
  <si>
    <t>40-1</t>
  </si>
  <si>
    <t>Phil Mickelson</t>
  </si>
  <si>
    <t>Adam Scott</t>
  </si>
  <si>
    <t>Rory Sabbatini</t>
  </si>
  <si>
    <t>Group F.2</t>
  </si>
  <si>
    <t>Group F.12$</t>
  </si>
  <si>
    <t>Vijay Singh</t>
  </si>
  <si>
    <t>30-1</t>
  </si>
  <si>
    <t>Lucas Glover</t>
  </si>
  <si>
    <t>Anthony Kim</t>
  </si>
  <si>
    <t>Zach Johnson</t>
  </si>
  <si>
    <t>Angel Cabrera</t>
  </si>
  <si>
    <t>Dustin Johnson</t>
  </si>
  <si>
    <t>Trevor Immelman</t>
  </si>
  <si>
    <t>Graeme McDowell</t>
  </si>
  <si>
    <t>Ryo Ishikawa</t>
  </si>
  <si>
    <t>Jose Maria Olazabal</t>
  </si>
  <si>
    <t>Nathan Smith</t>
  </si>
  <si>
    <t>Y. E. Yang</t>
  </si>
  <si>
    <t>Ricky Barnes</t>
  </si>
  <si>
    <t>Mike Weir</t>
  </si>
  <si>
    <t>Tim Clark</t>
  </si>
  <si>
    <t>Matt Kuchar</t>
  </si>
  <si>
    <t>David Toms</t>
  </si>
  <si>
    <t>Ryan Moore</t>
  </si>
  <si>
    <t>Francesco Molinari</t>
  </si>
  <si>
    <t>Eduardo Molinari</t>
  </si>
  <si>
    <t>Yuta Ikeda</t>
  </si>
  <si>
    <t>Kevin Na</t>
  </si>
  <si>
    <t>Steve Marino</t>
  </si>
  <si>
    <t>Tom Watson</t>
  </si>
  <si>
    <t>Mark O'Meara</t>
  </si>
  <si>
    <t>Vegas odds to win Masters</t>
  </si>
  <si>
    <t>Player</t>
  </si>
  <si>
    <t>Number selected</t>
  </si>
  <si>
    <t>200-1</t>
  </si>
  <si>
    <t>90-1</t>
  </si>
  <si>
    <t>110-1</t>
  </si>
  <si>
    <t>140-1</t>
  </si>
  <si>
    <t>150-1</t>
  </si>
  <si>
    <t>70-1</t>
  </si>
  <si>
    <t>22-1</t>
  </si>
  <si>
    <t>28-1</t>
  </si>
  <si>
    <t>55-1</t>
  </si>
  <si>
    <t>#</t>
  </si>
  <si>
    <t>$</t>
  </si>
  <si>
    <t>Casey, Paul</t>
  </si>
  <si>
    <t>Donald, Luke</t>
  </si>
  <si>
    <t>Els, Ernie</t>
  </si>
  <si>
    <t>Furyk, Jim</t>
  </si>
  <si>
    <t>Johnson, Dustin</t>
  </si>
  <si>
    <t>Kaymer, Martin</t>
  </si>
  <si>
    <t>McDowell, Graeme</t>
  </si>
  <si>
    <t>McIlroy, Rory</t>
  </si>
  <si>
    <t>Mickelson, Phil</t>
  </si>
  <si>
    <t>Stricker, Steve</t>
  </si>
  <si>
    <t>Westwood, Lee</t>
  </si>
  <si>
    <t>Woods, Tiger</t>
  </si>
  <si>
    <t>Valento, Karen</t>
  </si>
  <si>
    <t>momsfrrari@comcast.net</t>
  </si>
  <si>
    <t>Dario</t>
  </si>
  <si>
    <t>Tiger Woods</t>
  </si>
  <si>
    <t>Aaron Baddeley</t>
  </si>
  <si>
    <t>Bo Van Pelt</t>
  </si>
  <si>
    <t>Jim Jeong</t>
  </si>
  <si>
    <t>Peter Uihlein</t>
  </si>
  <si>
    <t>Appleby, Stuart</t>
  </si>
  <si>
    <t>Baddeley, Aaron</t>
  </si>
  <si>
    <t>Barnes, Ricky</t>
  </si>
  <si>
    <t>Cabrera, Angel</t>
  </si>
  <si>
    <t>Choi, K. J.</t>
  </si>
  <si>
    <t>Crane, Ben</t>
  </si>
  <si>
    <t>Fisher, Ross</t>
  </si>
  <si>
    <t>Fowler, Rickie</t>
  </si>
  <si>
    <t>Glover, Lucas</t>
  </si>
  <si>
    <t>Haas, Bill</t>
  </si>
  <si>
    <t>Ishikawa, Ryo</t>
  </si>
  <si>
    <t>Kelly, Jerry</t>
  </si>
  <si>
    <t>Kim, Anthony</t>
  </si>
  <si>
    <t>Laird, Martin</t>
  </si>
  <si>
    <t>Molinari, Eduardo</t>
  </si>
  <si>
    <t>Moore, Ryan</t>
  </si>
  <si>
    <t>Palmer, Ryan</t>
  </si>
  <si>
    <t>Quiros, Alvaro</t>
  </si>
  <si>
    <t>Rose, Justin</t>
  </si>
  <si>
    <t>Sabbatini, Rory</t>
  </si>
  <si>
    <t>Schwartzel, Charl</t>
  </si>
  <si>
    <t>Singh, Vijay</t>
  </si>
  <si>
    <t>Slocum, Heath</t>
  </si>
  <si>
    <t>Toms, David</t>
  </si>
  <si>
    <t>Villegas, Camillo</t>
  </si>
  <si>
    <t xml:space="preserve">Yang, Y. E. </t>
  </si>
  <si>
    <t>Allenby, Robert</t>
  </si>
  <si>
    <t>Cink, Stewart</t>
  </si>
  <si>
    <t>Clark, Tim</t>
  </si>
  <si>
    <t>Garcia, Sergio</t>
  </si>
  <si>
    <t>Goosen, Retief</t>
  </si>
  <si>
    <t>Harrington, Padraig</t>
  </si>
  <si>
    <t>Immelman, Trevor</t>
  </si>
  <si>
    <t>Jimenez, Miguel Angel</t>
  </si>
  <si>
    <t>Johnson, Zach</t>
  </si>
  <si>
    <t>Karlsson, Robert</t>
  </si>
  <si>
    <t>Kuchar, Matt</t>
  </si>
  <si>
    <t>Mahan, Hunter</t>
  </si>
  <si>
    <t>Molinari, Francesco</t>
  </si>
  <si>
    <t>Ogilvy, Geoff</t>
  </si>
  <si>
    <t>Poulter, Ian</t>
  </si>
  <si>
    <t>Scott, Adam</t>
  </si>
  <si>
    <t>Watney, Nick</t>
  </si>
  <si>
    <t>Watson, Bubba</t>
  </si>
  <si>
    <t>Atwal, Arjun</t>
  </si>
  <si>
    <t>Bohn, Jason</t>
  </si>
  <si>
    <t>Byrd, Jonathan</t>
  </si>
  <si>
    <t>Cejka, Alex</t>
  </si>
  <si>
    <t>Day, Jason</t>
  </si>
  <si>
    <t>Fujita, Hiroyuki</t>
  </si>
  <si>
    <t>Hansen, Anders</t>
  </si>
  <si>
    <t>Hanson, Peter</t>
  </si>
  <si>
    <t>Havret, Gregory</t>
  </si>
  <si>
    <t>Hoffman, Charley</t>
  </si>
  <si>
    <t>Ikeda, Yuta</t>
  </si>
  <si>
    <t>Kim, Kyung-Tae</t>
  </si>
  <si>
    <t>Marino, Steve</t>
  </si>
  <si>
    <t>Na, Kevin</t>
  </si>
  <si>
    <t>O'Hair, Sean</t>
  </si>
  <si>
    <t>Oosthuizen, Louis</t>
  </si>
  <si>
    <t>Overton, Jeff</t>
  </si>
  <si>
    <t>Pettersson, Carl</t>
  </si>
  <si>
    <t>Points, D. A.</t>
  </si>
  <si>
    <t>Snedeker, Brandt</t>
  </si>
  <si>
    <t>Stenson, Henrik</t>
  </si>
  <si>
    <t>Streelman, Kevin</t>
  </si>
  <si>
    <t>Van Pelt, Bo</t>
  </si>
  <si>
    <t>Vegas, Jhonattan</t>
  </si>
  <si>
    <t>Wilson, Mark</t>
  </si>
  <si>
    <t>Woodland, Gary</t>
  </si>
  <si>
    <t>Couples, Fred</t>
  </si>
  <si>
    <t>Crenshaw, Ben</t>
  </si>
  <si>
    <t>Langer, Bernhard</t>
  </si>
  <si>
    <t>Love, Davis</t>
  </si>
  <si>
    <t>Lyle, Sandy</t>
  </si>
  <si>
    <t>Mize, Larry</t>
  </si>
  <si>
    <t>O'Meara, Mark</t>
  </si>
  <si>
    <t>Olazabal, Jose Maria</t>
  </si>
  <si>
    <t>Stadler, Craig</t>
  </si>
  <si>
    <t>Watson, Tom</t>
  </si>
  <si>
    <t>Weir, Mike</t>
  </si>
  <si>
    <t>Woosnam, Ian</t>
  </si>
  <si>
    <t>Chung, David</t>
  </si>
  <si>
    <t>Jeong, Jim</t>
  </si>
  <si>
    <t>Kim, Lion</t>
  </si>
  <si>
    <t>Matsuyama, Hideki</t>
  </si>
  <si>
    <t>Smith, Nathan</t>
  </si>
  <si>
    <t>Uihlein, Peter</t>
  </si>
  <si>
    <t>Henrik Stenson</t>
  </si>
  <si>
    <t>chris.perrault@emc.com</t>
  </si>
  <si>
    <t>Perrault, Chris</t>
  </si>
  <si>
    <t>Bubba Watson</t>
  </si>
  <si>
    <t>Stuart Appleby</t>
  </si>
  <si>
    <t>Jeff Overton</t>
  </si>
  <si>
    <t>Fred Couples</t>
  </si>
  <si>
    <t>Ian Woosnam</t>
  </si>
  <si>
    <t>Willson, Larry</t>
  </si>
  <si>
    <t>Larry@Norfas.com</t>
  </si>
  <si>
    <t>Paul Casey</t>
  </si>
  <si>
    <t>Martin Laird</t>
  </si>
  <si>
    <t>Gary Woodland</t>
  </si>
  <si>
    <t>Davis Love</t>
  </si>
  <si>
    <t>Ivory, Bill</t>
  </si>
  <si>
    <t>BillIvory@EdinaRealty.com</t>
  </si>
  <si>
    <t>Rickie Fowler</t>
  </si>
  <si>
    <t>Mark Wilson</t>
  </si>
  <si>
    <t>Carl Pettersson</t>
  </si>
  <si>
    <t>Lion Kim</t>
  </si>
  <si>
    <t>Hideki Matsuyama</t>
  </si>
  <si>
    <t>Heller, Mark</t>
  </si>
  <si>
    <t>Spark14@comcast.net</t>
  </si>
  <si>
    <t>Padraig Harrington</t>
  </si>
  <si>
    <t>K. J. Choi</t>
  </si>
  <si>
    <t>Joe_logan@dell.com</t>
  </si>
  <si>
    <t>Logan, Joe</t>
  </si>
  <si>
    <t>Ernie Els</t>
  </si>
  <si>
    <t>D. A. Points</t>
  </si>
  <si>
    <t>David Chung</t>
  </si>
  <si>
    <t>Richard_Anderson@Dell.com</t>
  </si>
  <si>
    <t>Anderson, Richard</t>
  </si>
  <si>
    <t>Anderson, Dick</t>
  </si>
  <si>
    <t>Luke Donald</t>
  </si>
  <si>
    <t>Arjun Atwal</t>
  </si>
  <si>
    <t>Commers, Mike</t>
  </si>
  <si>
    <t>Mike@stpaullinocpt.com</t>
  </si>
  <si>
    <t>Brandt Snedeker</t>
  </si>
  <si>
    <t>Godbout, Jason</t>
  </si>
  <si>
    <t>Jason@norfas.com</t>
  </si>
  <si>
    <t>Lee Westwood</t>
  </si>
  <si>
    <t>Justin Rose</t>
  </si>
  <si>
    <t>Godbout, Ken</t>
  </si>
  <si>
    <t>Ken@norfas.com</t>
  </si>
  <si>
    <t>Jhonattan Vegas</t>
  </si>
  <si>
    <t>Perpich.Bill@principal.com</t>
  </si>
  <si>
    <t>Geoff Ogilvy</t>
  </si>
  <si>
    <t>Perpich, Bill (1)</t>
  </si>
  <si>
    <t>Perpich, Bill (2)</t>
  </si>
  <si>
    <t>Jason Day</t>
  </si>
  <si>
    <t>tkoleno2000@yahoo.com</t>
  </si>
  <si>
    <t>Koleno, Tom</t>
  </si>
  <si>
    <t>Charley Hoffman</t>
  </si>
  <si>
    <t>rogochs@mac.com</t>
  </si>
  <si>
    <t>Ochs, Roger</t>
  </si>
  <si>
    <t>Podmolik, Andy</t>
  </si>
  <si>
    <t>Droid_12@hotmail.com</t>
  </si>
  <si>
    <t>Jonathan Byrd</t>
  </si>
  <si>
    <t>Marston, Michael</t>
  </si>
  <si>
    <t>buckshawholdings@gmail.com</t>
  </si>
  <si>
    <t>Alex Cejka</t>
  </si>
  <si>
    <t>Johansen, Eric</t>
  </si>
  <si>
    <t>Eric.Johansen@alliancebanks.com</t>
  </si>
  <si>
    <t>Tollefsbol, Mark</t>
  </si>
  <si>
    <t>Mark@pulseproducts.com</t>
  </si>
  <si>
    <t>Gollias, Bob</t>
  </si>
  <si>
    <t>Robert.Gollias@wrigley.com</t>
  </si>
  <si>
    <t>Godbout, Brent</t>
  </si>
  <si>
    <t>brentgodbout@gmail.com</t>
  </si>
  <si>
    <t>Tom.Buslee@traditionllc.com</t>
  </si>
  <si>
    <t>Buslee, Tom (1)</t>
  </si>
  <si>
    <t>Buslee, Tom (2)</t>
  </si>
  <si>
    <t>fdriver@dtrio.com</t>
  </si>
  <si>
    <t>Driver, Fred</t>
  </si>
  <si>
    <t>Williams, Tom</t>
  </si>
  <si>
    <t>Williams.ts@comcast.net</t>
  </si>
  <si>
    <t>Minea, Pat</t>
  </si>
  <si>
    <t>Steve Stricker</t>
  </si>
  <si>
    <t>Rutzick, Adam</t>
  </si>
  <si>
    <t>Chieflit@aol.com</t>
  </si>
  <si>
    <t>Sandy Lyle</t>
  </si>
  <si>
    <t>Rutzick, Jake</t>
  </si>
  <si>
    <t>Anders Hansen</t>
  </si>
  <si>
    <t>Rutzick, Steve</t>
  </si>
  <si>
    <t>Stevenrutzicklaw@comcast.net</t>
  </si>
  <si>
    <t>Matschina, Dan</t>
  </si>
  <si>
    <t>dan@zengroup.cn</t>
  </si>
  <si>
    <t>Schmidt, Corey (1)</t>
  </si>
  <si>
    <t>Corey320@hotmail.com</t>
  </si>
  <si>
    <t>Schmidt, Corey (2)</t>
  </si>
  <si>
    <t>Louis Oosthuizen</t>
  </si>
  <si>
    <t>Van Dyck, Eric</t>
  </si>
  <si>
    <t>Ericvd83@gmail.com</t>
  </si>
  <si>
    <t>Anthony, Todd</t>
  </si>
  <si>
    <t>Todd@earlsfloorsanding.com</t>
  </si>
  <si>
    <t>Rory McIlroy</t>
  </si>
  <si>
    <t>Miller, Morgan</t>
  </si>
  <si>
    <t>wearefreeworld@gmail.com</t>
  </si>
  <si>
    <t>Stewart Cink</t>
  </si>
  <si>
    <t>Dario, Jason</t>
  </si>
  <si>
    <t>jasond@traditionllc.com</t>
  </si>
  <si>
    <t>Dario, Nick</t>
  </si>
  <si>
    <t>Retief Goosen</t>
  </si>
  <si>
    <t>Ian Poulter</t>
  </si>
  <si>
    <t>Charl Schwartzel</t>
  </si>
  <si>
    <t>Young, Mira (1)</t>
  </si>
  <si>
    <t>Young, Mira (2)</t>
  </si>
  <si>
    <t>Valento</t>
  </si>
  <si>
    <t>perrault@aol.com</t>
  </si>
  <si>
    <t>Perrault, Tom (1)</t>
  </si>
  <si>
    <t>Perrault, Tom (2)</t>
  </si>
  <si>
    <t>Camillo Villegas</t>
  </si>
  <si>
    <t>thephantom@trackphantom.com</t>
  </si>
  <si>
    <t>25-1</t>
  </si>
  <si>
    <t>125-1</t>
  </si>
  <si>
    <t>250-1</t>
  </si>
  <si>
    <t>33-1</t>
  </si>
  <si>
    <t>45-1</t>
  </si>
  <si>
    <t>6-1</t>
  </si>
  <si>
    <t>16-1</t>
  </si>
  <si>
    <t>66-1</t>
  </si>
  <si>
    <t>175-1</t>
  </si>
  <si>
    <t>75-1</t>
  </si>
  <si>
    <t>275-1</t>
  </si>
  <si>
    <t>300-1</t>
  </si>
  <si>
    <t>600-1</t>
  </si>
  <si>
    <t>500-1</t>
  </si>
  <si>
    <t>225-1</t>
  </si>
  <si>
    <t>350-1</t>
  </si>
  <si>
    <t>750-1</t>
  </si>
  <si>
    <t>OUT</t>
  </si>
  <si>
    <t>1500-1</t>
  </si>
  <si>
    <t>2000-1</t>
  </si>
  <si>
    <t>5000-1</t>
  </si>
  <si>
    <t>1000-1</t>
  </si>
  <si>
    <t>4000-1</t>
  </si>
  <si>
    <t>Valento, David</t>
  </si>
  <si>
    <t>Fletcher, Todd (1)</t>
  </si>
  <si>
    <t>Fletcher, Todd (2)</t>
  </si>
  <si>
    <t>Peter Hanson</t>
  </si>
  <si>
    <t>Whitman, Chuck (1)</t>
  </si>
  <si>
    <t>Whitman, Chuck (2)</t>
  </si>
  <si>
    <t>Johnson, Stephen</t>
  </si>
  <si>
    <t>Kraemer, Mike (1)</t>
  </si>
  <si>
    <t>Kraemer, Mike (2)</t>
  </si>
  <si>
    <t>Kraemer, Mike (3)</t>
  </si>
  <si>
    <t>Kraemer, Mike (4)</t>
  </si>
  <si>
    <t>Kraemer, Mike (5)</t>
  </si>
  <si>
    <t>jwschuett@gmail.com</t>
  </si>
  <si>
    <t>Schuett, Billy (1)</t>
  </si>
  <si>
    <t>Schuett, Billy (2)</t>
  </si>
  <si>
    <t>Bill Haas</t>
  </si>
  <si>
    <t>Adams, Brad</t>
  </si>
  <si>
    <t>BradAdams@spba.us</t>
  </si>
  <si>
    <t>Lien, Eric (1)</t>
  </si>
  <si>
    <t>Lien, Eric (2)</t>
  </si>
  <si>
    <t>Eric.Lien@genmills.com</t>
  </si>
  <si>
    <t>Kyung-Tae Kim</t>
  </si>
  <si>
    <t>Dario, Mel</t>
  </si>
  <si>
    <t>Meldario1@yahoo.com</t>
  </si>
  <si>
    <t>Anderson, Shawn</t>
  </si>
  <si>
    <t>Shawn.Anderson@allstate.com</t>
  </si>
  <si>
    <t>timfallon70@yahoo.com</t>
  </si>
  <si>
    <t>Fallon, Tim</t>
  </si>
  <si>
    <t>Robert Allenby</t>
  </si>
  <si>
    <t>stickjohnson@bellsouth.net</t>
  </si>
  <si>
    <t>DSorenson@genesisarch.com</t>
  </si>
  <si>
    <t>Trent.waterman@bestbuy.com</t>
  </si>
  <si>
    <t>cjoon19@yahoo.com</t>
  </si>
  <si>
    <t>russ@2ndswing.com</t>
  </si>
  <si>
    <t>Waterman, Trent</t>
  </si>
  <si>
    <t>Sorenson, Dave</t>
  </si>
  <si>
    <t>Vopal, Courtney</t>
  </si>
  <si>
    <t>Miguel Angel Jimenez</t>
  </si>
  <si>
    <t>Higgins, Russ (1)</t>
  </si>
  <si>
    <t>Higgins, Russ (2)</t>
  </si>
  <si>
    <t>pete.rathmanner@traditionllc.com</t>
  </si>
  <si>
    <t>Rathmanner, Peter (1)</t>
  </si>
  <si>
    <t>Rathmanner, Peter (2)</t>
  </si>
  <si>
    <t>Green, Justin</t>
  </si>
  <si>
    <t>Justin.green@traditionllc.com</t>
  </si>
  <si>
    <t>cindy.cole@alliancebanks.com</t>
  </si>
  <si>
    <t>Cole, Cindy</t>
  </si>
  <si>
    <t>zachary_stokes@uhaul.com</t>
  </si>
  <si>
    <t>Stokes, Zachary</t>
  </si>
  <si>
    <t>Heath Slocum</t>
  </si>
  <si>
    <t>sstanley@mucr.com</t>
  </si>
  <si>
    <t>Stanley, Steve</t>
  </si>
  <si>
    <t>Alvaro Quiros</t>
  </si>
  <si>
    <t>thomas5song@yahoo.com</t>
  </si>
  <si>
    <t>Song, Tom</t>
  </si>
  <si>
    <t>Wensmann, Terry</t>
  </si>
  <si>
    <t>Twensmann@wres-llc.com</t>
  </si>
  <si>
    <t>cmulcahy@mucr.com</t>
  </si>
  <si>
    <t>Mulcahy, Craig</t>
  </si>
  <si>
    <t>kthhopkins@yahoo.com</t>
  </si>
  <si>
    <t>Hopkins, Keith (1)</t>
  </si>
  <si>
    <t>Hopkins, Keith (2)</t>
  </si>
  <si>
    <t>David_Valento@dell.com</t>
  </si>
  <si>
    <t>Nast, Tom</t>
  </si>
  <si>
    <t>Tnast@traditionllc.com</t>
  </si>
  <si>
    <t>Benjamin.Doran@wellsfargo.com</t>
  </si>
  <si>
    <t>Doran, Ben</t>
  </si>
  <si>
    <t>wens0021@umn.edu</t>
  </si>
  <si>
    <t>Wensmann, Ryan</t>
  </si>
  <si>
    <t>Erdall, Kevin</t>
  </si>
  <si>
    <t>Erdallkw@yahoo.com</t>
  </si>
  <si>
    <t>Erdall, Brooks</t>
  </si>
  <si>
    <t>Hintermeister, Dave (2)</t>
  </si>
  <si>
    <t>Hintermeister, Dave (1)</t>
  </si>
  <si>
    <t>mike.kraemer@mgkcompanies.com</t>
  </si>
  <si>
    <t>peterkraker@netscape.net</t>
  </si>
  <si>
    <t>Kraker, Pete</t>
  </si>
  <si>
    <t>Lindstrom, Paul</t>
  </si>
  <si>
    <t>Pallawoffice@comcast.net</t>
  </si>
  <si>
    <t>Mattaini, Bob</t>
  </si>
  <si>
    <t>bmattaini@datalink.com</t>
  </si>
  <si>
    <t>davep@marketplacehome.com</t>
  </si>
  <si>
    <t>Petroske, Dave</t>
  </si>
  <si>
    <t>O'Malley, Scott</t>
  </si>
  <si>
    <t>scott.omalley@atatailgate.com</t>
  </si>
  <si>
    <t>Ben Crenshaw</t>
  </si>
  <si>
    <t>rich.eklund@gmail.com</t>
  </si>
  <si>
    <t>Eklund, Rich</t>
  </si>
  <si>
    <t>Sarah@dsgopen.com</t>
  </si>
  <si>
    <t>Ruggero, Rug</t>
  </si>
  <si>
    <t>Tim.Myers@dcsg.com</t>
  </si>
  <si>
    <t>Myers, Tim</t>
  </si>
  <si>
    <t>Pessagno, David</t>
  </si>
  <si>
    <t>Dave@dsgopen.com</t>
  </si>
  <si>
    <t>dlhint@marketplacehome.com</t>
  </si>
  <si>
    <t>Pminea@northmarq.com</t>
  </si>
  <si>
    <t>Koepke, Rick</t>
  </si>
  <si>
    <t>RKoepke@KrollOntrack.com</t>
  </si>
  <si>
    <t>Brooks.erdall@gmail.com</t>
  </si>
  <si>
    <t>Sergio Garcia</t>
  </si>
  <si>
    <t>Jim Furyk</t>
  </si>
  <si>
    <t>Robert Karlsson</t>
  </si>
  <si>
    <t>jjrothmund@yahoo.com</t>
  </si>
  <si>
    <t>Rothmund, Jeff</t>
  </si>
  <si>
    <t>Jacob.Fick@traditiondevelopment.com</t>
  </si>
  <si>
    <t>Fick, Jacob</t>
  </si>
  <si>
    <t>jonhankes@hotmail.com</t>
  </si>
  <si>
    <t>Hankes, Jon</t>
  </si>
  <si>
    <t>tim.smith@anytimefitness.com</t>
  </si>
  <si>
    <t>Smith, Tim (1)</t>
  </si>
  <si>
    <t>Smith, Tim (2)</t>
  </si>
  <si>
    <t>chris.keller@traditionllc.com</t>
  </si>
  <si>
    <t>Keller, Chris</t>
  </si>
  <si>
    <t>Wensmann, Steve</t>
  </si>
  <si>
    <t>Swensmann169@hotmail.com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</si>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</sst>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trike/>
      <sz val="8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44" fontId="4" fillId="3" borderId="7" xfId="0" applyNumberFormat="1" applyFont="1" applyFill="1" applyBorder="1" applyAlignment="1">
      <alignment horizontal="left"/>
    </xf>
    <xf numFmtId="44" fontId="4" fillId="3" borderId="8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4" fontId="4" fillId="3" borderId="9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44" fontId="2" fillId="7" borderId="11" xfId="1" applyFont="1" applyFill="1" applyBorder="1" applyAlignment="1">
      <alignment horizontal="left"/>
    </xf>
    <xf numFmtId="44" fontId="2" fillId="7" borderId="12" xfId="1" applyFont="1" applyFill="1" applyBorder="1" applyAlignment="1">
      <alignment horizontal="left"/>
    </xf>
    <xf numFmtId="44" fontId="2" fillId="6" borderId="11" xfId="1" applyFont="1" applyFill="1" applyBorder="1" applyAlignment="1">
      <alignment horizontal="left"/>
    </xf>
    <xf numFmtId="44" fontId="2" fillId="6" borderId="16" xfId="1" applyFont="1" applyFill="1" applyBorder="1" applyAlignment="1">
      <alignment horizontal="left"/>
    </xf>
    <xf numFmtId="44" fontId="2" fillId="6" borderId="12" xfId="1" applyFont="1" applyFill="1" applyBorder="1" applyAlignment="1">
      <alignment horizontal="left"/>
    </xf>
    <xf numFmtId="44" fontId="2" fillId="6" borderId="17" xfId="1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44" fontId="2" fillId="9" borderId="11" xfId="1" applyFont="1" applyFill="1" applyBorder="1" applyAlignment="1">
      <alignment horizontal="left"/>
    </xf>
    <xf numFmtId="44" fontId="2" fillId="9" borderId="12" xfId="1" applyFont="1" applyFill="1" applyBorder="1" applyAlignment="1">
      <alignment horizontal="left"/>
    </xf>
    <xf numFmtId="44" fontId="2" fillId="9" borderId="13" xfId="1" applyFont="1" applyFill="1" applyBorder="1" applyAlignment="1">
      <alignment horizontal="left"/>
    </xf>
    <xf numFmtId="44" fontId="2" fillId="8" borderId="11" xfId="1" applyFont="1" applyFill="1" applyBorder="1" applyAlignment="1">
      <alignment horizontal="left"/>
    </xf>
    <xf numFmtId="44" fontId="2" fillId="8" borderId="12" xfId="1" applyFont="1" applyFill="1" applyBorder="1" applyAlignment="1">
      <alignment horizontal="left"/>
    </xf>
    <xf numFmtId="44" fontId="2" fillId="8" borderId="13" xfId="1" applyFont="1" applyFill="1" applyBorder="1" applyAlignment="1">
      <alignment horizontal="left"/>
    </xf>
    <xf numFmtId="0" fontId="2" fillId="10" borderId="18" xfId="0" applyFont="1" applyFill="1" applyBorder="1" applyAlignment="1">
      <alignment horizontal="left"/>
    </xf>
    <xf numFmtId="0" fontId="3" fillId="10" borderId="19" xfId="0" applyFont="1" applyFill="1" applyBorder="1" applyAlignment="1">
      <alignment horizontal="center" vertical="center"/>
    </xf>
    <xf numFmtId="44" fontId="2" fillId="10" borderId="11" xfId="1" applyFont="1" applyFill="1" applyBorder="1" applyAlignment="1">
      <alignment horizontal="left"/>
    </xf>
    <xf numFmtId="44" fontId="2" fillId="10" borderId="20" xfId="1" applyFont="1" applyFill="1" applyBorder="1" applyAlignment="1">
      <alignment horizontal="left"/>
    </xf>
    <xf numFmtId="44" fontId="2" fillId="10" borderId="12" xfId="1" applyFont="1" applyFill="1" applyBorder="1" applyAlignment="1">
      <alignment horizontal="left"/>
    </xf>
    <xf numFmtId="44" fontId="2" fillId="10" borderId="21" xfId="1" applyFont="1" applyFill="1" applyBorder="1" applyAlignment="1">
      <alignment horizontal="left"/>
    </xf>
    <xf numFmtId="44" fontId="2" fillId="10" borderId="13" xfId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2" fillId="5" borderId="11" xfId="1" applyFont="1" applyFill="1" applyBorder="1" applyAlignment="1">
      <alignment horizontal="left"/>
    </xf>
    <xf numFmtId="44" fontId="2" fillId="5" borderId="12" xfId="1" applyFont="1" applyFill="1" applyBorder="1" applyAlignment="1">
      <alignment horizontal="left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44" fontId="3" fillId="7" borderId="29" xfId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44" fontId="3" fillId="6" borderId="29" xfId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44" fontId="3" fillId="5" borderId="29" xfId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44" fontId="3" fillId="9" borderId="29" xfId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44" fontId="3" fillId="8" borderId="29" xfId="1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44" fontId="3" fillId="10" borderId="29" xfId="1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7" borderId="31" xfId="0" applyFont="1" applyFill="1" applyBorder="1" applyAlignment="1">
      <alignment vertical="top" wrapText="1"/>
    </xf>
    <xf numFmtId="0" fontId="2" fillId="7" borderId="32" xfId="0" applyFont="1" applyFill="1" applyBorder="1" applyAlignment="1">
      <alignment horizontal="center"/>
    </xf>
    <xf numFmtId="49" fontId="2" fillId="7" borderId="33" xfId="0" applyNumberFormat="1" applyFont="1" applyFill="1" applyBorder="1" applyAlignment="1">
      <alignment horizontal="center"/>
    </xf>
    <xf numFmtId="0" fontId="2" fillId="9" borderId="31" xfId="0" applyFont="1" applyFill="1" applyBorder="1" applyAlignment="1">
      <alignment vertical="top" wrapText="1"/>
    </xf>
    <xf numFmtId="0" fontId="2" fillId="9" borderId="32" xfId="0" applyFont="1" applyFill="1" applyBorder="1" applyAlignment="1">
      <alignment horizontal="center"/>
    </xf>
    <xf numFmtId="49" fontId="2" fillId="9" borderId="33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49" fontId="2" fillId="7" borderId="18" xfId="0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vertical="top" wrapText="1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9" fontId="2" fillId="9" borderId="18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49" fontId="2" fillId="7" borderId="36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vertical="top" wrapText="1"/>
    </xf>
    <xf numFmtId="0" fontId="2" fillId="6" borderId="32" xfId="0" applyFont="1" applyFill="1" applyBorder="1" applyAlignment="1">
      <alignment horizontal="center"/>
    </xf>
    <xf numFmtId="49" fontId="2" fillId="6" borderId="33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0" fontId="2" fillId="9" borderId="34" xfId="0" applyFont="1" applyFill="1" applyBorder="1" applyAlignment="1">
      <alignment vertical="top" wrapText="1"/>
    </xf>
    <xf numFmtId="0" fontId="2" fillId="9" borderId="35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49" fontId="2" fillId="9" borderId="36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/>
    </xf>
    <xf numFmtId="49" fontId="2" fillId="8" borderId="37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vertical="top" wrapText="1"/>
    </xf>
    <xf numFmtId="0" fontId="2" fillId="8" borderId="12" xfId="0" applyFont="1" applyFill="1" applyBorder="1" applyAlignment="1">
      <alignment horizontal="center"/>
    </xf>
    <xf numFmtId="49" fontId="2" fillId="8" borderId="18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vertical="top" wrapText="1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vertical="top" wrapText="1"/>
    </xf>
    <xf numFmtId="0" fontId="2" fillId="5" borderId="32" xfId="0" applyFont="1" applyFill="1" applyBorder="1" applyAlignment="1">
      <alignment horizontal="center"/>
    </xf>
    <xf numFmtId="49" fontId="2" fillId="5" borderId="33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vertical="top" wrapText="1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9" fontId="2" fillId="5" borderId="18" xfId="0" applyNumberFormat="1" applyFont="1" applyFill="1" applyBorder="1" applyAlignment="1">
      <alignment horizontal="center"/>
    </xf>
    <xf numFmtId="0" fontId="2" fillId="8" borderId="38" xfId="0" applyFont="1" applyFill="1" applyBorder="1" applyAlignment="1">
      <alignment vertical="top" wrapText="1"/>
    </xf>
    <xf numFmtId="0" fontId="2" fillId="8" borderId="39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49" fontId="2" fillId="8" borderId="41" xfId="0" applyNumberFormat="1" applyFont="1" applyFill="1" applyBorder="1" applyAlignment="1">
      <alignment horizontal="center"/>
    </xf>
    <xf numFmtId="0" fontId="2" fillId="10" borderId="31" xfId="0" applyFont="1" applyFill="1" applyBorder="1" applyAlignment="1">
      <alignment vertical="top" wrapText="1"/>
    </xf>
    <xf numFmtId="0" fontId="2" fillId="10" borderId="32" xfId="0" applyFont="1" applyFill="1" applyBorder="1" applyAlignment="1">
      <alignment horizontal="center"/>
    </xf>
    <xf numFmtId="49" fontId="2" fillId="10" borderId="33" xfId="0" applyNumberFormat="1" applyFont="1" applyFill="1" applyBorder="1" applyAlignment="1">
      <alignment horizontal="center"/>
    </xf>
    <xf numFmtId="0" fontId="2" fillId="10" borderId="15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49" fontId="2" fillId="10" borderId="18" xfId="0" applyNumberFormat="1" applyFont="1" applyFill="1" applyBorder="1" applyAlignment="1">
      <alignment horizontal="center"/>
    </xf>
    <xf numFmtId="0" fontId="2" fillId="10" borderId="34" xfId="0" applyFont="1" applyFill="1" applyBorder="1" applyAlignment="1">
      <alignment vertical="top" wrapText="1"/>
    </xf>
    <xf numFmtId="0" fontId="2" fillId="10" borderId="35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49" fontId="2" fillId="10" borderId="36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vertical="top" wrapText="1"/>
    </xf>
    <xf numFmtId="0" fontId="2" fillId="5" borderId="3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9" fontId="2" fillId="5" borderId="36" xfId="0" applyNumberFormat="1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left"/>
    </xf>
    <xf numFmtId="0" fontId="7" fillId="10" borderId="36" xfId="0" applyFont="1" applyFill="1" applyBorder="1" applyAlignment="1">
      <alignment horizontal="left"/>
    </xf>
    <xf numFmtId="0" fontId="7" fillId="10" borderId="37" xfId="0" applyFont="1" applyFill="1" applyBorder="1" applyAlignment="1">
      <alignment horizontal="left"/>
    </xf>
    <xf numFmtId="0" fontId="7" fillId="10" borderId="12" xfId="0" applyFont="1" applyFill="1" applyBorder="1" applyAlignment="1">
      <alignment horizontal="left"/>
    </xf>
    <xf numFmtId="0" fontId="7" fillId="10" borderId="13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9" borderId="12" xfId="0" applyFont="1" applyFill="1" applyBorder="1" applyAlignment="1">
      <alignment horizontal="left"/>
    </xf>
    <xf numFmtId="0" fontId="7" fillId="9" borderId="11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2" fillId="7" borderId="34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  <pageSetUpPr fitToPage="1"/>
  </sheetPr>
  <dimension ref="A1:AC101"/>
  <sheetViews>
    <sheetView tabSelected="1"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defaultColWidth="9.125" defaultRowHeight="10.9" x14ac:dyDescent="0.2"/>
  <cols>
    <col min="1" max="1" width="6.5" style="5" bestFit="1" customWidth="1"/>
    <col min="2" max="2" width="18.375" style="58" bestFit="1" customWidth="1"/>
    <col min="3" max="3" width="27.875" style="7" hidden="1" customWidth="1"/>
    <col min="4" max="4" width="16.5" style="19" hidden="1" customWidth="1"/>
    <col min="5" max="5" width="12" style="5" bestFit="1" customWidth="1"/>
    <col min="6" max="6" width="13.625" style="5" bestFit="1" customWidth="1"/>
    <col min="7" max="7" width="15.625" style="8" bestFit="1" customWidth="1"/>
    <col min="8" max="8" width="13.625" style="5" bestFit="1" customWidth="1"/>
    <col min="9" max="9" width="15.625" style="8" bestFit="1" customWidth="1"/>
    <col min="10" max="10" width="13.875" style="5" bestFit="1" customWidth="1"/>
    <col min="11" max="11" width="15.5" style="8" bestFit="1" customWidth="1"/>
    <col min="12" max="12" width="15.875" style="5" bestFit="1" customWidth="1"/>
    <col min="13" max="13" width="15.5" style="8" bestFit="1" customWidth="1"/>
    <col min="14" max="14" width="13.375" style="5" bestFit="1" customWidth="1"/>
    <col min="15" max="15" width="15.625" style="8" bestFit="1" customWidth="1"/>
    <col min="16" max="16" width="13.375" style="5" bestFit="1" customWidth="1"/>
    <col min="17" max="17" width="15.625" style="8" bestFit="1" customWidth="1"/>
    <col min="18" max="18" width="13.125" style="5" bestFit="1" customWidth="1"/>
    <col min="19" max="19" width="15.5" style="8" bestFit="1" customWidth="1"/>
    <col min="20" max="20" width="13.125" style="5" bestFit="1" customWidth="1"/>
    <col min="21" max="21" width="15.5" style="8" bestFit="1" customWidth="1"/>
    <col min="22" max="22" width="13" style="5" bestFit="1" customWidth="1"/>
    <col min="23" max="23" width="15.5" style="8" bestFit="1" customWidth="1"/>
    <col min="24" max="24" width="15" style="5" bestFit="1" customWidth="1"/>
    <col min="25" max="25" width="15.5" style="8" bestFit="1" customWidth="1"/>
    <col min="26" max="26" width="13" style="5" bestFit="1" customWidth="1"/>
    <col min="27" max="27" width="15.5" style="8" bestFit="1" customWidth="1"/>
    <col min="28" max="28" width="13.5" style="5" bestFit="1" customWidth="1"/>
    <col min="29" max="29" width="10.125" style="8" bestFit="1" customWidth="1"/>
    <col min="30" max="30" width="17.5" style="5" customWidth="1"/>
    <col min="31" max="16384" width="9.125" style="5"/>
  </cols>
  <sheetData>
    <row r="1" spans="1:29" s="9" customFormat="1" ht="22.6" customHeight="1" thickTop="1" thickBot="1" x14ac:dyDescent="0.25">
      <c r="A1" s="148" t="s">
        <v>86</v>
      </c>
      <c r="B1" s="147" t="s">
        <v>31</v>
      </c>
      <c r="C1" s="61" t="s">
        <v>22</v>
      </c>
      <c r="D1" s="62" t="s">
        <v>23</v>
      </c>
      <c r="E1" s="63" t="s">
        <v>87</v>
      </c>
      <c r="F1" s="64" t="s">
        <v>1</v>
      </c>
      <c r="G1" s="65" t="s">
        <v>0</v>
      </c>
      <c r="H1" s="66" t="s">
        <v>2</v>
      </c>
      <c r="I1" s="65" t="s">
        <v>3</v>
      </c>
      <c r="J1" s="67" t="s">
        <v>15</v>
      </c>
      <c r="K1" s="68" t="s">
        <v>4</v>
      </c>
      <c r="L1" s="67" t="s">
        <v>14</v>
      </c>
      <c r="M1" s="68" t="s">
        <v>5</v>
      </c>
      <c r="N1" s="69" t="s">
        <v>13</v>
      </c>
      <c r="O1" s="70" t="s">
        <v>6</v>
      </c>
      <c r="P1" s="69" t="s">
        <v>12</v>
      </c>
      <c r="Q1" s="70" t="s">
        <v>7</v>
      </c>
      <c r="R1" s="71" t="s">
        <v>9</v>
      </c>
      <c r="S1" s="72" t="s">
        <v>11</v>
      </c>
      <c r="T1" s="71" t="s">
        <v>8</v>
      </c>
      <c r="U1" s="72" t="s">
        <v>10</v>
      </c>
      <c r="V1" s="73" t="s">
        <v>16</v>
      </c>
      <c r="W1" s="74" t="s">
        <v>17</v>
      </c>
      <c r="X1" s="73" t="s">
        <v>20</v>
      </c>
      <c r="Y1" s="74" t="s">
        <v>18</v>
      </c>
      <c r="Z1" s="75" t="s">
        <v>21</v>
      </c>
      <c r="AA1" s="76" t="s">
        <v>19</v>
      </c>
      <c r="AB1" s="77" t="s">
        <v>46</v>
      </c>
      <c r="AC1" s="48" t="s">
        <v>47</v>
      </c>
    </row>
    <row r="2" spans="1:29" ht="10.55" customHeight="1" thickTop="1" x14ac:dyDescent="0.2">
      <c r="A2" s="14">
        <v>1</v>
      </c>
      <c r="B2" s="54" t="s">
        <v>373</v>
      </c>
      <c r="C2" s="6" t="s">
        <v>372</v>
      </c>
      <c r="D2" s="16" t="s">
        <v>102</v>
      </c>
      <c r="E2" s="15">
        <f t="shared" ref="E2:E33" si="0">SUM(G2)+I2+K2+M2+O2+Q2+S2+U2+W2+Y2+AA2+AC2</f>
        <v>2687734</v>
      </c>
      <c r="F2" s="27" t="s">
        <v>291</v>
      </c>
      <c r="G2" s="33">
        <v>128000</v>
      </c>
      <c r="H2" s="28" t="s">
        <v>103</v>
      </c>
      <c r="I2" s="33">
        <v>330667</v>
      </c>
      <c r="J2" s="24" t="s">
        <v>34</v>
      </c>
      <c r="K2" s="35">
        <v>26400</v>
      </c>
      <c r="L2" s="24" t="s">
        <v>242</v>
      </c>
      <c r="M2" s="36">
        <v>330667</v>
      </c>
      <c r="N2" s="22" t="s">
        <v>237</v>
      </c>
      <c r="O2" s="59">
        <v>176000</v>
      </c>
      <c r="P2" s="22" t="s">
        <v>300</v>
      </c>
      <c r="Q2" s="59">
        <v>1440000</v>
      </c>
      <c r="R2" s="159" t="s">
        <v>70</v>
      </c>
      <c r="S2" s="41"/>
      <c r="T2" s="39" t="s">
        <v>233</v>
      </c>
      <c r="U2" s="41">
        <v>128000</v>
      </c>
      <c r="V2" s="31" t="s">
        <v>202</v>
      </c>
      <c r="W2" s="44">
        <v>128000</v>
      </c>
      <c r="X2" s="155" t="s">
        <v>62</v>
      </c>
      <c r="Y2" s="44"/>
      <c r="Z2" s="154" t="s">
        <v>59</v>
      </c>
      <c r="AA2" s="49"/>
      <c r="AB2" s="151" t="s">
        <v>107</v>
      </c>
      <c r="AC2" s="50"/>
    </row>
    <row r="3" spans="1:29" ht="10.55" customHeight="1" x14ac:dyDescent="0.2">
      <c r="A3" s="10">
        <v>2</v>
      </c>
      <c r="B3" s="55" t="s">
        <v>404</v>
      </c>
      <c r="C3" s="20" t="s">
        <v>426</v>
      </c>
      <c r="D3" s="16" t="s">
        <v>102</v>
      </c>
      <c r="E3" s="12">
        <f t="shared" si="0"/>
        <v>2129067</v>
      </c>
      <c r="F3" s="29" t="s">
        <v>236</v>
      </c>
      <c r="G3" s="34">
        <v>176000</v>
      </c>
      <c r="H3" s="30" t="s">
        <v>103</v>
      </c>
      <c r="I3" s="34">
        <v>330667</v>
      </c>
      <c r="J3" s="25" t="s">
        <v>64</v>
      </c>
      <c r="K3" s="37">
        <v>54400</v>
      </c>
      <c r="L3" s="163" t="s">
        <v>32</v>
      </c>
      <c r="M3" s="38"/>
      <c r="N3" s="164" t="s">
        <v>51</v>
      </c>
      <c r="O3" s="60"/>
      <c r="P3" s="23" t="s">
        <v>300</v>
      </c>
      <c r="Q3" s="60">
        <v>1440000</v>
      </c>
      <c r="R3" s="158" t="s">
        <v>286</v>
      </c>
      <c r="S3" s="42"/>
      <c r="T3" s="158" t="s">
        <v>35</v>
      </c>
      <c r="U3" s="42"/>
      <c r="V3" s="32" t="s">
        <v>202</v>
      </c>
      <c r="W3" s="44">
        <v>128000</v>
      </c>
      <c r="X3" s="156" t="s">
        <v>209</v>
      </c>
      <c r="Y3" s="45"/>
      <c r="Z3" s="152" t="s">
        <v>215</v>
      </c>
      <c r="AA3" s="51"/>
      <c r="AB3" s="149" t="s">
        <v>107</v>
      </c>
      <c r="AC3" s="52"/>
    </row>
    <row r="4" spans="1:29" ht="10.55" customHeight="1" x14ac:dyDescent="0.2">
      <c r="A4" s="10">
        <v>3</v>
      </c>
      <c r="B4" s="55" t="s">
        <v>338</v>
      </c>
      <c r="C4" s="4" t="s">
        <v>361</v>
      </c>
      <c r="D4" s="16" t="s">
        <v>303</v>
      </c>
      <c r="E4" s="12">
        <f t="shared" si="0"/>
        <v>2118667</v>
      </c>
      <c r="F4" s="29" t="s">
        <v>43</v>
      </c>
      <c r="G4" s="34">
        <v>54400</v>
      </c>
      <c r="H4" s="30" t="s">
        <v>103</v>
      </c>
      <c r="I4" s="33">
        <v>330667</v>
      </c>
      <c r="J4" s="25" t="s">
        <v>34</v>
      </c>
      <c r="K4" s="35">
        <v>26400</v>
      </c>
      <c r="L4" s="163" t="s">
        <v>32</v>
      </c>
      <c r="M4" s="38"/>
      <c r="N4" s="23" t="s">
        <v>212</v>
      </c>
      <c r="O4" s="60">
        <v>36800</v>
      </c>
      <c r="P4" s="23" t="s">
        <v>300</v>
      </c>
      <c r="Q4" s="60">
        <v>1440000</v>
      </c>
      <c r="R4" s="40" t="s">
        <v>71</v>
      </c>
      <c r="S4" s="42">
        <v>32000</v>
      </c>
      <c r="T4" s="40" t="s">
        <v>208</v>
      </c>
      <c r="U4" s="42">
        <v>70400</v>
      </c>
      <c r="V4" s="32" t="s">
        <v>202</v>
      </c>
      <c r="W4" s="44">
        <v>128000</v>
      </c>
      <c r="X4" s="156" t="s">
        <v>209</v>
      </c>
      <c r="Y4" s="45"/>
      <c r="Z4" s="152" t="s">
        <v>59</v>
      </c>
      <c r="AA4" s="51"/>
      <c r="AB4" s="149" t="s">
        <v>107</v>
      </c>
      <c r="AC4" s="52"/>
    </row>
    <row r="5" spans="1:29" ht="10.55" customHeight="1" x14ac:dyDescent="0.2">
      <c r="A5" s="10">
        <v>4</v>
      </c>
      <c r="B5" s="55" t="s">
        <v>301</v>
      </c>
      <c r="C5" s="4" t="s">
        <v>308</v>
      </c>
      <c r="D5" s="16" t="s">
        <v>303</v>
      </c>
      <c r="E5" s="12">
        <f t="shared" si="0"/>
        <v>2037600</v>
      </c>
      <c r="F5" s="29" t="s">
        <v>206</v>
      </c>
      <c r="G5" s="34">
        <v>36800</v>
      </c>
      <c r="H5" s="30" t="s">
        <v>236</v>
      </c>
      <c r="I5" s="33">
        <v>176000</v>
      </c>
      <c r="J5" s="25" t="s">
        <v>34</v>
      </c>
      <c r="K5" s="35">
        <v>26400</v>
      </c>
      <c r="L5" s="25" t="s">
        <v>299</v>
      </c>
      <c r="M5" s="38">
        <v>54400</v>
      </c>
      <c r="N5" s="23" t="s">
        <v>237</v>
      </c>
      <c r="O5" s="60">
        <v>176000</v>
      </c>
      <c r="P5" s="23" t="s">
        <v>300</v>
      </c>
      <c r="Q5" s="60">
        <v>1440000</v>
      </c>
      <c r="R5" s="158" t="s">
        <v>335</v>
      </c>
      <c r="S5" s="42"/>
      <c r="T5" s="40" t="s">
        <v>233</v>
      </c>
      <c r="U5" s="42">
        <v>128000</v>
      </c>
      <c r="V5" s="156" t="s">
        <v>73</v>
      </c>
      <c r="W5" s="44"/>
      <c r="X5" s="156" t="s">
        <v>209</v>
      </c>
      <c r="Y5" s="45"/>
      <c r="Z5" s="152" t="s">
        <v>215</v>
      </c>
      <c r="AA5" s="51"/>
      <c r="AB5" s="149" t="s">
        <v>107</v>
      </c>
      <c r="AC5" s="52"/>
    </row>
    <row r="6" spans="1:29" ht="10.55" customHeight="1" x14ac:dyDescent="0.2">
      <c r="A6" s="10">
        <v>5</v>
      </c>
      <c r="B6" s="55" t="s">
        <v>336</v>
      </c>
      <c r="C6" s="4" t="s">
        <v>308</v>
      </c>
      <c r="D6" s="17" t="s">
        <v>303</v>
      </c>
      <c r="E6" s="12">
        <f t="shared" si="0"/>
        <v>2025600</v>
      </c>
      <c r="F6" s="29" t="s">
        <v>43</v>
      </c>
      <c r="G6" s="34">
        <v>54400</v>
      </c>
      <c r="H6" s="30" t="s">
        <v>206</v>
      </c>
      <c r="I6" s="34">
        <v>36800</v>
      </c>
      <c r="J6" s="25" t="s">
        <v>34</v>
      </c>
      <c r="K6" s="35">
        <v>26400</v>
      </c>
      <c r="L6" s="25" t="s">
        <v>431</v>
      </c>
      <c r="M6" s="38">
        <v>43200</v>
      </c>
      <c r="N6" s="23" t="s">
        <v>53</v>
      </c>
      <c r="O6" s="60">
        <v>268000</v>
      </c>
      <c r="P6" s="23" t="s">
        <v>300</v>
      </c>
      <c r="Q6" s="60">
        <v>1440000</v>
      </c>
      <c r="R6" s="158" t="s">
        <v>335</v>
      </c>
      <c r="S6" s="42"/>
      <c r="T6" s="40" t="s">
        <v>201</v>
      </c>
      <c r="U6" s="42">
        <v>28800</v>
      </c>
      <c r="V6" s="32" t="s">
        <v>202</v>
      </c>
      <c r="W6" s="44">
        <v>128000</v>
      </c>
      <c r="X6" s="156" t="s">
        <v>62</v>
      </c>
      <c r="Y6" s="45"/>
      <c r="Z6" s="152" t="s">
        <v>225</v>
      </c>
      <c r="AA6" s="51"/>
      <c r="AB6" s="149" t="s">
        <v>215</v>
      </c>
      <c r="AC6" s="52"/>
    </row>
    <row r="7" spans="1:29" ht="10.55" customHeight="1" x14ac:dyDescent="0.2">
      <c r="A7" s="10">
        <v>6</v>
      </c>
      <c r="B7" s="55" t="s">
        <v>302</v>
      </c>
      <c r="C7" s="4" t="s">
        <v>308</v>
      </c>
      <c r="D7" s="16" t="s">
        <v>303</v>
      </c>
      <c r="E7" s="12">
        <f t="shared" si="0"/>
        <v>1824800</v>
      </c>
      <c r="F7" s="29" t="s">
        <v>291</v>
      </c>
      <c r="G7" s="34">
        <v>128000</v>
      </c>
      <c r="H7" s="30" t="s">
        <v>236</v>
      </c>
      <c r="I7" s="34">
        <v>176000</v>
      </c>
      <c r="J7" s="25" t="s">
        <v>34</v>
      </c>
      <c r="K7" s="35">
        <v>26400</v>
      </c>
      <c r="L7" s="25" t="s">
        <v>299</v>
      </c>
      <c r="M7" s="38">
        <v>54400</v>
      </c>
      <c r="N7" s="164" t="s">
        <v>51</v>
      </c>
      <c r="O7" s="59"/>
      <c r="P7" s="23" t="s">
        <v>300</v>
      </c>
      <c r="Q7" s="60">
        <v>1440000</v>
      </c>
      <c r="R7" s="158" t="s">
        <v>196</v>
      </c>
      <c r="S7" s="42"/>
      <c r="T7" s="158" t="s">
        <v>214</v>
      </c>
      <c r="U7" s="42"/>
      <c r="V7" s="156" t="s">
        <v>73</v>
      </c>
      <c r="W7" s="44"/>
      <c r="X7" s="156" t="s">
        <v>209</v>
      </c>
      <c r="Y7" s="45"/>
      <c r="Z7" s="152" t="s">
        <v>215</v>
      </c>
      <c r="AA7" s="51"/>
      <c r="AB7" s="149" t="s">
        <v>107</v>
      </c>
      <c r="AC7" s="52"/>
    </row>
    <row r="8" spans="1:29" ht="10.55" customHeight="1" x14ac:dyDescent="0.2">
      <c r="A8" s="10">
        <v>7</v>
      </c>
      <c r="B8" s="55" t="s">
        <v>390</v>
      </c>
      <c r="C8" s="4" t="s">
        <v>389</v>
      </c>
      <c r="D8" s="16" t="s">
        <v>102</v>
      </c>
      <c r="E8" s="12">
        <f t="shared" si="0"/>
        <v>1533400</v>
      </c>
      <c r="F8" s="29" t="s">
        <v>43</v>
      </c>
      <c r="G8" s="34">
        <v>54400</v>
      </c>
      <c r="H8" s="30" t="s">
        <v>236</v>
      </c>
      <c r="I8" s="33">
        <v>176000</v>
      </c>
      <c r="J8" s="25" t="s">
        <v>64</v>
      </c>
      <c r="K8" s="37">
        <v>54400</v>
      </c>
      <c r="L8" s="25" t="s">
        <v>199</v>
      </c>
      <c r="M8" s="38">
        <v>36800</v>
      </c>
      <c r="N8" s="23" t="s">
        <v>53</v>
      </c>
      <c r="O8" s="60">
        <v>268000</v>
      </c>
      <c r="P8" s="23" t="s">
        <v>212</v>
      </c>
      <c r="Q8" s="60">
        <v>36800</v>
      </c>
      <c r="R8" s="40" t="s">
        <v>245</v>
      </c>
      <c r="S8" s="42">
        <v>704000</v>
      </c>
      <c r="T8" s="158" t="s">
        <v>286</v>
      </c>
      <c r="U8" s="42"/>
      <c r="V8" s="32" t="s">
        <v>202</v>
      </c>
      <c r="W8" s="44">
        <v>128000</v>
      </c>
      <c r="X8" s="156" t="s">
        <v>72</v>
      </c>
      <c r="Y8" s="45"/>
      <c r="Z8" s="152" t="s">
        <v>107</v>
      </c>
      <c r="AA8" s="51"/>
      <c r="AB8" s="47" t="s">
        <v>216</v>
      </c>
      <c r="AC8" s="52">
        <v>75000</v>
      </c>
    </row>
    <row r="9" spans="1:29" ht="10.55" customHeight="1" x14ac:dyDescent="0.2">
      <c r="A9" s="10">
        <v>8</v>
      </c>
      <c r="B9" s="55" t="s">
        <v>297</v>
      </c>
      <c r="C9" s="4" t="s">
        <v>296</v>
      </c>
      <c r="D9" s="16" t="s">
        <v>102</v>
      </c>
      <c r="E9" s="12">
        <f t="shared" si="0"/>
        <v>1514467</v>
      </c>
      <c r="F9" s="161" t="s">
        <v>33</v>
      </c>
      <c r="G9" s="34"/>
      <c r="H9" s="30" t="s">
        <v>103</v>
      </c>
      <c r="I9" s="33">
        <v>330667</v>
      </c>
      <c r="J9" s="163" t="s">
        <v>298</v>
      </c>
      <c r="K9" s="37"/>
      <c r="L9" s="163" t="s">
        <v>52</v>
      </c>
      <c r="M9" s="38"/>
      <c r="N9" s="23" t="s">
        <v>212</v>
      </c>
      <c r="O9" s="60">
        <v>36800</v>
      </c>
      <c r="P9" s="164" t="s">
        <v>51</v>
      </c>
      <c r="Q9" s="60"/>
      <c r="R9" s="40" t="s">
        <v>245</v>
      </c>
      <c r="S9" s="42">
        <v>704000</v>
      </c>
      <c r="T9" s="40" t="s">
        <v>105</v>
      </c>
      <c r="U9" s="42">
        <v>240000</v>
      </c>
      <c r="V9" s="32" t="s">
        <v>202</v>
      </c>
      <c r="W9" s="45">
        <v>128000</v>
      </c>
      <c r="X9" s="156" t="s">
        <v>62</v>
      </c>
      <c r="Y9" s="45"/>
      <c r="Z9" s="152" t="s">
        <v>107</v>
      </c>
      <c r="AA9" s="51"/>
      <c r="AB9" s="47" t="s">
        <v>216</v>
      </c>
      <c r="AC9" s="52">
        <v>75000</v>
      </c>
    </row>
    <row r="10" spans="1:29" ht="10.55" customHeight="1" x14ac:dyDescent="0.2">
      <c r="A10" s="10">
        <v>9</v>
      </c>
      <c r="B10" s="55" t="s">
        <v>306</v>
      </c>
      <c r="C10" s="20" t="s">
        <v>304</v>
      </c>
      <c r="D10" s="16" t="s">
        <v>102</v>
      </c>
      <c r="E10" s="12">
        <f t="shared" si="0"/>
        <v>1500267</v>
      </c>
      <c r="F10" s="29" t="s">
        <v>43</v>
      </c>
      <c r="G10" s="34">
        <v>54400</v>
      </c>
      <c r="H10" s="30" t="s">
        <v>103</v>
      </c>
      <c r="I10" s="33">
        <v>330667</v>
      </c>
      <c r="J10" s="25" t="s">
        <v>44</v>
      </c>
      <c r="K10" s="35">
        <v>704000</v>
      </c>
      <c r="L10" s="163" t="s">
        <v>219</v>
      </c>
      <c r="M10" s="38"/>
      <c r="N10" s="164" t="s">
        <v>200</v>
      </c>
      <c r="O10" s="60"/>
      <c r="P10" s="23" t="s">
        <v>220</v>
      </c>
      <c r="Q10" s="60">
        <v>240000</v>
      </c>
      <c r="R10" s="158" t="s">
        <v>196</v>
      </c>
      <c r="S10" s="42"/>
      <c r="T10" s="40" t="s">
        <v>256</v>
      </c>
      <c r="U10" s="42">
        <v>43200</v>
      </c>
      <c r="V10" s="32" t="s">
        <v>202</v>
      </c>
      <c r="W10" s="45">
        <v>128000</v>
      </c>
      <c r="X10" s="156" t="s">
        <v>72</v>
      </c>
      <c r="Y10" s="45"/>
      <c r="Z10" s="152" t="s">
        <v>106</v>
      </c>
      <c r="AA10" s="51"/>
      <c r="AB10" s="149" t="s">
        <v>107</v>
      </c>
      <c r="AC10" s="52"/>
    </row>
    <row r="11" spans="1:29" ht="10.55" customHeight="1" x14ac:dyDescent="0.2">
      <c r="A11" s="10">
        <v>10</v>
      </c>
      <c r="B11" s="55" t="s">
        <v>332</v>
      </c>
      <c r="C11" s="4" t="s">
        <v>394</v>
      </c>
      <c r="D11" s="16" t="s">
        <v>303</v>
      </c>
      <c r="E11" s="12">
        <f t="shared" si="0"/>
        <v>1486000</v>
      </c>
      <c r="F11" s="29" t="s">
        <v>291</v>
      </c>
      <c r="G11" s="34">
        <v>128000</v>
      </c>
      <c r="H11" s="30" t="s">
        <v>236</v>
      </c>
      <c r="I11" s="34">
        <v>176000</v>
      </c>
      <c r="J11" s="25" t="s">
        <v>34</v>
      </c>
      <c r="K11" s="37">
        <v>26400</v>
      </c>
      <c r="L11" s="25" t="s">
        <v>299</v>
      </c>
      <c r="M11" s="38">
        <v>54400</v>
      </c>
      <c r="N11" s="23" t="s">
        <v>237</v>
      </c>
      <c r="O11" s="60">
        <v>176000</v>
      </c>
      <c r="P11" s="23" t="s">
        <v>207</v>
      </c>
      <c r="Q11" s="60">
        <v>93200</v>
      </c>
      <c r="R11" s="40" t="s">
        <v>245</v>
      </c>
      <c r="S11" s="42">
        <v>704000</v>
      </c>
      <c r="T11" s="158" t="s">
        <v>286</v>
      </c>
      <c r="U11" s="42"/>
      <c r="V11" s="32" t="s">
        <v>202</v>
      </c>
      <c r="W11" s="44">
        <v>128000</v>
      </c>
      <c r="X11" s="156" t="s">
        <v>209</v>
      </c>
      <c r="Y11" s="45"/>
      <c r="Z11" s="152" t="s">
        <v>215</v>
      </c>
      <c r="AA11" s="51"/>
      <c r="AB11" s="149" t="s">
        <v>107</v>
      </c>
      <c r="AC11" s="52"/>
    </row>
    <row r="12" spans="1:29" ht="10.55" customHeight="1" x14ac:dyDescent="0.2">
      <c r="A12" s="10">
        <v>11</v>
      </c>
      <c r="B12" s="55" t="s">
        <v>244</v>
      </c>
      <c r="C12" s="4" t="s">
        <v>241</v>
      </c>
      <c r="D12" s="16" t="s">
        <v>102</v>
      </c>
      <c r="E12" s="12">
        <f t="shared" si="0"/>
        <v>1421867</v>
      </c>
      <c r="F12" s="29" t="s">
        <v>54</v>
      </c>
      <c r="G12" s="34">
        <v>36800</v>
      </c>
      <c r="H12" s="30" t="s">
        <v>103</v>
      </c>
      <c r="I12" s="34">
        <v>330667</v>
      </c>
      <c r="J12" s="25" t="s">
        <v>64</v>
      </c>
      <c r="K12" s="35">
        <v>54400</v>
      </c>
      <c r="L12" s="25" t="s">
        <v>199</v>
      </c>
      <c r="M12" s="38">
        <v>36800</v>
      </c>
      <c r="N12" s="23" t="s">
        <v>104</v>
      </c>
      <c r="O12" s="60">
        <v>24000</v>
      </c>
      <c r="P12" s="23" t="s">
        <v>212</v>
      </c>
      <c r="Q12" s="60">
        <v>36800</v>
      </c>
      <c r="R12" s="40" t="s">
        <v>245</v>
      </c>
      <c r="S12" s="42">
        <v>704000</v>
      </c>
      <c r="T12" s="40" t="s">
        <v>208</v>
      </c>
      <c r="U12" s="42">
        <v>70400</v>
      </c>
      <c r="V12" s="32" t="s">
        <v>202</v>
      </c>
      <c r="W12" s="45">
        <v>128000</v>
      </c>
      <c r="X12" s="156" t="s">
        <v>72</v>
      </c>
      <c r="Y12" s="45"/>
      <c r="Z12" s="152" t="s">
        <v>225</v>
      </c>
      <c r="AA12" s="51"/>
      <c r="AB12" s="149" t="s">
        <v>107</v>
      </c>
      <c r="AC12" s="52"/>
    </row>
    <row r="13" spans="1:29" ht="10.55" customHeight="1" x14ac:dyDescent="0.2">
      <c r="A13" s="10">
        <v>12</v>
      </c>
      <c r="B13" s="55" t="s">
        <v>387</v>
      </c>
      <c r="C13" s="4" t="s">
        <v>388</v>
      </c>
      <c r="D13" s="16" t="s">
        <v>102</v>
      </c>
      <c r="E13" s="12">
        <f t="shared" si="0"/>
        <v>1336667</v>
      </c>
      <c r="F13" s="29" t="s">
        <v>43</v>
      </c>
      <c r="G13" s="34">
        <v>54400</v>
      </c>
      <c r="H13" s="30" t="s">
        <v>103</v>
      </c>
      <c r="I13" s="33">
        <v>330667</v>
      </c>
      <c r="J13" s="25" t="s">
        <v>34</v>
      </c>
      <c r="K13" s="35">
        <v>26400</v>
      </c>
      <c r="L13" s="163" t="s">
        <v>32</v>
      </c>
      <c r="M13" s="38"/>
      <c r="N13" s="164" t="s">
        <v>48</v>
      </c>
      <c r="O13" s="60"/>
      <c r="P13" s="23" t="s">
        <v>60</v>
      </c>
      <c r="Q13" s="60">
        <v>93200</v>
      </c>
      <c r="R13" s="40" t="s">
        <v>245</v>
      </c>
      <c r="S13" s="42">
        <v>704000</v>
      </c>
      <c r="T13" s="158" t="s">
        <v>224</v>
      </c>
      <c r="U13" s="42"/>
      <c r="V13" s="32" t="s">
        <v>202</v>
      </c>
      <c r="W13" s="44">
        <v>128000</v>
      </c>
      <c r="X13" s="156" t="s">
        <v>209</v>
      </c>
      <c r="Y13" s="45"/>
      <c r="Z13" s="152" t="s">
        <v>106</v>
      </c>
      <c r="AA13" s="51"/>
      <c r="AB13" s="149" t="s">
        <v>107</v>
      </c>
      <c r="AC13" s="52"/>
    </row>
    <row r="14" spans="1:29" ht="10.55" customHeight="1" x14ac:dyDescent="0.2">
      <c r="A14" s="10">
        <v>13</v>
      </c>
      <c r="B14" s="55" t="s">
        <v>285</v>
      </c>
      <c r="C14" s="20" t="s">
        <v>284</v>
      </c>
      <c r="D14" s="16" t="s">
        <v>102</v>
      </c>
      <c r="E14" s="12">
        <f t="shared" si="0"/>
        <v>1321000</v>
      </c>
      <c r="F14" s="29" t="s">
        <v>43</v>
      </c>
      <c r="G14" s="34">
        <v>54400</v>
      </c>
      <c r="H14" s="162" t="s">
        <v>33</v>
      </c>
      <c r="I14" s="34"/>
      <c r="J14" s="25" t="s">
        <v>34</v>
      </c>
      <c r="K14" s="37">
        <v>26400</v>
      </c>
      <c r="L14" s="25" t="s">
        <v>44</v>
      </c>
      <c r="M14" s="38">
        <v>704000</v>
      </c>
      <c r="N14" s="23" t="s">
        <v>60</v>
      </c>
      <c r="O14" s="60">
        <v>93200</v>
      </c>
      <c r="P14" s="23" t="s">
        <v>220</v>
      </c>
      <c r="Q14" s="60">
        <v>240000</v>
      </c>
      <c r="R14" s="158" t="s">
        <v>69</v>
      </c>
      <c r="S14" s="42"/>
      <c r="T14" s="158" t="s">
        <v>286</v>
      </c>
      <c r="U14" s="42"/>
      <c r="V14" s="32" t="s">
        <v>202</v>
      </c>
      <c r="W14" s="45">
        <v>128000</v>
      </c>
      <c r="X14" s="156" t="s">
        <v>209</v>
      </c>
      <c r="Y14" s="45"/>
      <c r="Z14" s="152" t="s">
        <v>215</v>
      </c>
      <c r="AA14" s="51"/>
      <c r="AB14" s="47" t="s">
        <v>216</v>
      </c>
      <c r="AC14" s="52">
        <v>75000</v>
      </c>
    </row>
    <row r="15" spans="1:29" ht="10.55" customHeight="1" x14ac:dyDescent="0.2">
      <c r="A15" s="10">
        <v>14</v>
      </c>
      <c r="B15" s="55" t="s">
        <v>334</v>
      </c>
      <c r="C15" s="6" t="s">
        <v>308</v>
      </c>
      <c r="D15" s="16" t="s">
        <v>303</v>
      </c>
      <c r="E15" s="12">
        <f t="shared" si="0"/>
        <v>1239600</v>
      </c>
      <c r="F15" s="161" t="s">
        <v>56</v>
      </c>
      <c r="G15" s="34"/>
      <c r="H15" s="30" t="s">
        <v>236</v>
      </c>
      <c r="I15" s="33">
        <v>176000</v>
      </c>
      <c r="J15" s="25" t="s">
        <v>34</v>
      </c>
      <c r="K15" s="35">
        <v>26400</v>
      </c>
      <c r="L15" s="163" t="s">
        <v>32</v>
      </c>
      <c r="M15" s="38"/>
      <c r="N15" s="23" t="s">
        <v>207</v>
      </c>
      <c r="O15" s="59">
        <v>93200</v>
      </c>
      <c r="P15" s="23" t="s">
        <v>220</v>
      </c>
      <c r="Q15" s="60">
        <v>240000</v>
      </c>
      <c r="R15" s="40" t="s">
        <v>245</v>
      </c>
      <c r="S15" s="42">
        <v>704000</v>
      </c>
      <c r="T15" s="158" t="s">
        <v>286</v>
      </c>
      <c r="U15" s="42"/>
      <c r="V15" s="156" t="s">
        <v>209</v>
      </c>
      <c r="W15" s="44"/>
      <c r="X15" s="156" t="s">
        <v>62</v>
      </c>
      <c r="Y15" s="45"/>
      <c r="Z15" s="152" t="s">
        <v>215</v>
      </c>
      <c r="AA15" s="51"/>
      <c r="AB15" s="149" t="s">
        <v>107</v>
      </c>
      <c r="AC15" s="52"/>
    </row>
    <row r="16" spans="1:29" ht="10.55" customHeight="1" x14ac:dyDescent="0.2">
      <c r="A16" s="10">
        <v>15</v>
      </c>
      <c r="B16" s="55" t="s">
        <v>366</v>
      </c>
      <c r="C16" s="6" t="s">
        <v>362</v>
      </c>
      <c r="D16" s="16" t="s">
        <v>102</v>
      </c>
      <c r="E16" s="12">
        <f t="shared" si="0"/>
        <v>1192267</v>
      </c>
      <c r="F16" s="29" t="s">
        <v>229</v>
      </c>
      <c r="G16" s="34">
        <v>330667</v>
      </c>
      <c r="H16" s="30" t="s">
        <v>273</v>
      </c>
      <c r="I16" s="33">
        <v>176000</v>
      </c>
      <c r="J16" s="25" t="s">
        <v>34</v>
      </c>
      <c r="K16" s="35">
        <v>26400</v>
      </c>
      <c r="L16" s="25" t="s">
        <v>64</v>
      </c>
      <c r="M16" s="37">
        <v>54400</v>
      </c>
      <c r="N16" s="23" t="s">
        <v>68</v>
      </c>
      <c r="O16" s="59">
        <v>176000</v>
      </c>
      <c r="P16" s="23" t="s">
        <v>220</v>
      </c>
      <c r="Q16" s="60">
        <v>240000</v>
      </c>
      <c r="R16" s="40" t="s">
        <v>71</v>
      </c>
      <c r="S16" s="42">
        <v>32000</v>
      </c>
      <c r="T16" s="40" t="s">
        <v>201</v>
      </c>
      <c r="U16" s="42">
        <v>28800</v>
      </c>
      <c r="V16" s="32" t="s">
        <v>202</v>
      </c>
      <c r="W16" s="44">
        <v>128000</v>
      </c>
      <c r="X16" s="156" t="s">
        <v>62</v>
      </c>
      <c r="Y16" s="45"/>
      <c r="Z16" s="152" t="s">
        <v>59</v>
      </c>
      <c r="AA16" s="51"/>
      <c r="AB16" s="149" t="s">
        <v>107</v>
      </c>
      <c r="AC16" s="52"/>
    </row>
    <row r="17" spans="1:29" ht="10.55" customHeight="1" x14ac:dyDescent="0.2">
      <c r="A17" s="10">
        <v>16</v>
      </c>
      <c r="B17" s="55" t="s">
        <v>269</v>
      </c>
      <c r="C17" s="4" t="s">
        <v>268</v>
      </c>
      <c r="D17" s="16" t="s">
        <v>102</v>
      </c>
      <c r="E17" s="12">
        <f t="shared" si="0"/>
        <v>1115467</v>
      </c>
      <c r="F17" s="29" t="s">
        <v>43</v>
      </c>
      <c r="G17" s="34">
        <v>54400</v>
      </c>
      <c r="H17" s="30" t="s">
        <v>103</v>
      </c>
      <c r="I17" s="33">
        <v>330667</v>
      </c>
      <c r="J17" s="25" t="s">
        <v>34</v>
      </c>
      <c r="K17" s="35">
        <v>26400</v>
      </c>
      <c r="L17" s="163" t="s">
        <v>32</v>
      </c>
      <c r="M17" s="38"/>
      <c r="N17" s="23" t="s">
        <v>237</v>
      </c>
      <c r="O17" s="60">
        <v>176000</v>
      </c>
      <c r="P17" s="23" t="s">
        <v>220</v>
      </c>
      <c r="Q17" s="60">
        <v>240000</v>
      </c>
      <c r="R17" s="40" t="s">
        <v>71</v>
      </c>
      <c r="S17" s="42">
        <v>32000</v>
      </c>
      <c r="T17" s="40" t="s">
        <v>233</v>
      </c>
      <c r="U17" s="42">
        <v>128000</v>
      </c>
      <c r="V17" s="32" t="s">
        <v>202</v>
      </c>
      <c r="W17" s="44">
        <v>128000</v>
      </c>
      <c r="X17" s="156" t="s">
        <v>62</v>
      </c>
      <c r="Y17" s="45"/>
      <c r="Z17" s="152" t="s">
        <v>225</v>
      </c>
      <c r="AA17" s="51"/>
      <c r="AB17" s="149" t="s">
        <v>215</v>
      </c>
      <c r="AC17" s="52"/>
    </row>
    <row r="18" spans="1:29" ht="10.55" customHeight="1" x14ac:dyDescent="0.2">
      <c r="A18" s="10">
        <v>17</v>
      </c>
      <c r="B18" s="55" t="s">
        <v>415</v>
      </c>
      <c r="C18" s="6" t="s">
        <v>416</v>
      </c>
      <c r="D18" s="16" t="s">
        <v>102</v>
      </c>
      <c r="E18" s="12">
        <f t="shared" si="0"/>
        <v>1112800</v>
      </c>
      <c r="F18" s="29" t="s">
        <v>43</v>
      </c>
      <c r="G18" s="34">
        <v>54400</v>
      </c>
      <c r="H18" s="162" t="s">
        <v>33</v>
      </c>
      <c r="I18" s="33"/>
      <c r="J18" s="25" t="s">
        <v>34</v>
      </c>
      <c r="K18" s="35">
        <v>26400</v>
      </c>
      <c r="L18" s="25" t="s">
        <v>44</v>
      </c>
      <c r="M18" s="38">
        <v>704000</v>
      </c>
      <c r="N18" s="23" t="s">
        <v>104</v>
      </c>
      <c r="O18" s="60">
        <v>24000</v>
      </c>
      <c r="P18" s="23" t="s">
        <v>237</v>
      </c>
      <c r="Q18" s="60">
        <v>176000</v>
      </c>
      <c r="R18" s="158" t="s">
        <v>230</v>
      </c>
      <c r="S18" s="42"/>
      <c r="T18" s="158" t="s">
        <v>240</v>
      </c>
      <c r="U18" s="42"/>
      <c r="V18" s="32" t="s">
        <v>202</v>
      </c>
      <c r="W18" s="44">
        <v>128000</v>
      </c>
      <c r="X18" s="156" t="s">
        <v>417</v>
      </c>
      <c r="Y18" s="45"/>
      <c r="Z18" s="152" t="s">
        <v>225</v>
      </c>
      <c r="AA18" s="51"/>
      <c r="AB18" s="149" t="s">
        <v>107</v>
      </c>
      <c r="AC18" s="52"/>
    </row>
    <row r="19" spans="1:29" ht="10.55" customHeight="1" x14ac:dyDescent="0.2">
      <c r="A19" s="10">
        <v>18</v>
      </c>
      <c r="B19" s="55" t="s">
        <v>400</v>
      </c>
      <c r="C19" s="4" t="s">
        <v>399</v>
      </c>
      <c r="D19" s="16" t="s">
        <v>102</v>
      </c>
      <c r="E19" s="12">
        <f t="shared" si="0"/>
        <v>1082934</v>
      </c>
      <c r="F19" s="29" t="s">
        <v>229</v>
      </c>
      <c r="G19" s="34">
        <v>330667</v>
      </c>
      <c r="H19" s="30" t="s">
        <v>103</v>
      </c>
      <c r="I19" s="34">
        <v>330667</v>
      </c>
      <c r="J19" s="25" t="s">
        <v>34</v>
      </c>
      <c r="K19" s="35">
        <v>26400</v>
      </c>
      <c r="L19" s="25" t="s">
        <v>199</v>
      </c>
      <c r="M19" s="38">
        <v>36800</v>
      </c>
      <c r="N19" s="23" t="s">
        <v>237</v>
      </c>
      <c r="O19" s="59">
        <v>176000</v>
      </c>
      <c r="P19" s="23" t="s">
        <v>384</v>
      </c>
      <c r="Q19" s="60">
        <v>54400</v>
      </c>
      <c r="R19" s="158" t="s">
        <v>278</v>
      </c>
      <c r="S19" s="42"/>
      <c r="T19" s="158" t="s">
        <v>213</v>
      </c>
      <c r="U19" s="42"/>
      <c r="V19" s="32" t="s">
        <v>202</v>
      </c>
      <c r="W19" s="44">
        <v>128000</v>
      </c>
      <c r="X19" s="156" t="s">
        <v>209</v>
      </c>
      <c r="Y19" s="45"/>
      <c r="Z19" s="152" t="s">
        <v>215</v>
      </c>
      <c r="AA19" s="51"/>
      <c r="AB19" s="149" t="s">
        <v>107</v>
      </c>
      <c r="AC19" s="52"/>
    </row>
    <row r="20" spans="1:29" ht="10.55" customHeight="1" x14ac:dyDescent="0.2">
      <c r="A20" s="10">
        <v>19</v>
      </c>
      <c r="B20" s="55" t="s">
        <v>345</v>
      </c>
      <c r="C20" s="6" t="s">
        <v>344</v>
      </c>
      <c r="D20" s="16" t="s">
        <v>102</v>
      </c>
      <c r="E20" s="12">
        <f t="shared" si="0"/>
        <v>1061334</v>
      </c>
      <c r="F20" s="29" t="s">
        <v>229</v>
      </c>
      <c r="G20" s="34">
        <v>330667</v>
      </c>
      <c r="H20" s="30" t="s">
        <v>103</v>
      </c>
      <c r="I20" s="34">
        <v>330667</v>
      </c>
      <c r="J20" s="25" t="s">
        <v>64</v>
      </c>
      <c r="K20" s="37">
        <v>54400</v>
      </c>
      <c r="L20" s="25" t="s">
        <v>299</v>
      </c>
      <c r="M20" s="38">
        <v>54400</v>
      </c>
      <c r="N20" s="23" t="s">
        <v>65</v>
      </c>
      <c r="O20" s="59">
        <v>70400</v>
      </c>
      <c r="P20" s="23" t="s">
        <v>347</v>
      </c>
      <c r="Q20" s="60">
        <v>32000</v>
      </c>
      <c r="R20" s="40" t="s">
        <v>71</v>
      </c>
      <c r="S20" s="42">
        <v>32000</v>
      </c>
      <c r="T20" s="40" t="s">
        <v>201</v>
      </c>
      <c r="U20" s="42">
        <v>28800</v>
      </c>
      <c r="V20" s="32" t="s">
        <v>202</v>
      </c>
      <c r="W20" s="44">
        <v>128000</v>
      </c>
      <c r="X20" s="156" t="s">
        <v>58</v>
      </c>
      <c r="Y20" s="45"/>
      <c r="Z20" s="152" t="s">
        <v>225</v>
      </c>
      <c r="AA20" s="51"/>
      <c r="AB20" s="149" t="s">
        <v>107</v>
      </c>
      <c r="AC20" s="52"/>
    </row>
    <row r="21" spans="1:29" ht="10.55" customHeight="1" x14ac:dyDescent="0.2">
      <c r="A21" s="10">
        <v>20</v>
      </c>
      <c r="B21" s="55" t="s">
        <v>392</v>
      </c>
      <c r="C21" s="4" t="s">
        <v>391</v>
      </c>
      <c r="D21" s="16" t="s">
        <v>102</v>
      </c>
      <c r="E21" s="12">
        <f t="shared" si="0"/>
        <v>1030400</v>
      </c>
      <c r="F21" s="161" t="s">
        <v>56</v>
      </c>
      <c r="G21" s="34"/>
      <c r="H21" s="30" t="s">
        <v>54</v>
      </c>
      <c r="I21" s="34">
        <v>36800</v>
      </c>
      <c r="J21" s="25" t="s">
        <v>64</v>
      </c>
      <c r="K21" s="37">
        <v>54400</v>
      </c>
      <c r="L21" s="25" t="s">
        <v>44</v>
      </c>
      <c r="M21" s="38">
        <v>704000</v>
      </c>
      <c r="N21" s="23" t="s">
        <v>212</v>
      </c>
      <c r="O21" s="60">
        <v>36800</v>
      </c>
      <c r="P21" s="164" t="s">
        <v>51</v>
      </c>
      <c r="Q21" s="60"/>
      <c r="R21" s="158" t="s">
        <v>224</v>
      </c>
      <c r="S21" s="42"/>
      <c r="T21" s="40" t="s">
        <v>208</v>
      </c>
      <c r="U21" s="42">
        <v>70400</v>
      </c>
      <c r="V21" s="32" t="s">
        <v>202</v>
      </c>
      <c r="W21" s="44">
        <v>128000</v>
      </c>
      <c r="X21" s="156" t="s">
        <v>209</v>
      </c>
      <c r="Y21" s="45"/>
      <c r="Z21" s="152" t="s">
        <v>225</v>
      </c>
      <c r="AA21" s="51"/>
      <c r="AB21" s="149" t="s">
        <v>107</v>
      </c>
      <c r="AC21" s="52"/>
    </row>
    <row r="22" spans="1:29" ht="10.55" customHeight="1" x14ac:dyDescent="0.2">
      <c r="A22" s="10">
        <v>21</v>
      </c>
      <c r="B22" s="55" t="s">
        <v>428</v>
      </c>
      <c r="C22" s="6" t="s">
        <v>429</v>
      </c>
      <c r="D22" s="16" t="s">
        <v>102</v>
      </c>
      <c r="E22" s="12">
        <f t="shared" si="0"/>
        <v>1021067</v>
      </c>
      <c r="F22" s="29" t="s">
        <v>229</v>
      </c>
      <c r="G22" s="34">
        <v>330667</v>
      </c>
      <c r="H22" s="30" t="s">
        <v>236</v>
      </c>
      <c r="I22" s="34">
        <v>176000</v>
      </c>
      <c r="J22" s="25" t="s">
        <v>34</v>
      </c>
      <c r="K22" s="37">
        <v>26400</v>
      </c>
      <c r="L22" s="163" t="s">
        <v>32</v>
      </c>
      <c r="M22" s="38"/>
      <c r="N22" s="23" t="s">
        <v>104</v>
      </c>
      <c r="O22" s="60">
        <v>24000</v>
      </c>
      <c r="P22" s="23" t="s">
        <v>237</v>
      </c>
      <c r="Q22" s="60">
        <v>176000</v>
      </c>
      <c r="R22" s="40" t="s">
        <v>71</v>
      </c>
      <c r="S22" s="42">
        <v>32000</v>
      </c>
      <c r="T22" s="40" t="s">
        <v>233</v>
      </c>
      <c r="U22" s="42">
        <v>128000</v>
      </c>
      <c r="V22" s="32" t="s">
        <v>202</v>
      </c>
      <c r="W22" s="45">
        <v>128000</v>
      </c>
      <c r="X22" s="156" t="s">
        <v>72</v>
      </c>
      <c r="Y22" s="45"/>
      <c r="Z22" s="152" t="s">
        <v>106</v>
      </c>
      <c r="AA22" s="51"/>
      <c r="AB22" s="149" t="s">
        <v>107</v>
      </c>
      <c r="AC22" s="52"/>
    </row>
    <row r="23" spans="1:29" ht="10.55" customHeight="1" x14ac:dyDescent="0.2">
      <c r="A23" s="10">
        <v>22</v>
      </c>
      <c r="B23" s="55" t="s">
        <v>228</v>
      </c>
      <c r="C23" s="20" t="s">
        <v>226</v>
      </c>
      <c r="D23" s="16" t="s">
        <v>102</v>
      </c>
      <c r="E23" s="12">
        <f t="shared" si="0"/>
        <v>1003467</v>
      </c>
      <c r="F23" s="29" t="s">
        <v>229</v>
      </c>
      <c r="G23" s="34">
        <v>330667</v>
      </c>
      <c r="H23" s="30" t="s">
        <v>54</v>
      </c>
      <c r="I23" s="34">
        <v>36800</v>
      </c>
      <c r="J23" s="163" t="s">
        <v>63</v>
      </c>
      <c r="K23" s="35"/>
      <c r="L23" s="163" t="s">
        <v>67</v>
      </c>
      <c r="M23" s="38"/>
      <c r="N23" s="23" t="s">
        <v>53</v>
      </c>
      <c r="O23" s="60">
        <v>268000</v>
      </c>
      <c r="P23" s="23" t="s">
        <v>220</v>
      </c>
      <c r="Q23" s="60">
        <v>240000</v>
      </c>
      <c r="R23" s="158" t="s">
        <v>230</v>
      </c>
      <c r="S23" s="42"/>
      <c r="T23" s="158" t="s">
        <v>70</v>
      </c>
      <c r="U23" s="42"/>
      <c r="V23" s="32" t="s">
        <v>202</v>
      </c>
      <c r="W23" s="44">
        <v>128000</v>
      </c>
      <c r="X23" s="156" t="s">
        <v>73</v>
      </c>
      <c r="Y23" s="45"/>
      <c r="Z23" s="152" t="s">
        <v>225</v>
      </c>
      <c r="AA23" s="51"/>
      <c r="AB23" s="149" t="s">
        <v>215</v>
      </c>
      <c r="AC23" s="52"/>
    </row>
    <row r="24" spans="1:29" ht="10.55" customHeight="1" x14ac:dyDescent="0.2">
      <c r="A24" s="10">
        <v>23</v>
      </c>
      <c r="B24" s="55" t="s">
        <v>371</v>
      </c>
      <c r="C24" s="4" t="s">
        <v>365</v>
      </c>
      <c r="D24" s="16" t="s">
        <v>102</v>
      </c>
      <c r="E24" s="12">
        <f t="shared" si="0"/>
        <v>996267</v>
      </c>
      <c r="F24" s="29" t="s">
        <v>43</v>
      </c>
      <c r="G24" s="34">
        <v>54400</v>
      </c>
      <c r="H24" s="30" t="s">
        <v>103</v>
      </c>
      <c r="I24" s="34">
        <v>330667</v>
      </c>
      <c r="J24" s="25" t="s">
        <v>64</v>
      </c>
      <c r="K24" s="37">
        <v>54400</v>
      </c>
      <c r="L24" s="25" t="s">
        <v>369</v>
      </c>
      <c r="M24" s="38">
        <v>54400</v>
      </c>
      <c r="N24" s="23" t="s">
        <v>237</v>
      </c>
      <c r="O24" s="59">
        <v>176000</v>
      </c>
      <c r="P24" s="164" t="s">
        <v>51</v>
      </c>
      <c r="Q24" s="60"/>
      <c r="R24" s="40" t="s">
        <v>208</v>
      </c>
      <c r="S24" s="42">
        <v>70400</v>
      </c>
      <c r="T24" s="40" t="s">
        <v>233</v>
      </c>
      <c r="U24" s="42">
        <v>128000</v>
      </c>
      <c r="V24" s="32" t="s">
        <v>202</v>
      </c>
      <c r="W24" s="44">
        <v>128000</v>
      </c>
      <c r="X24" s="156" t="s">
        <v>62</v>
      </c>
      <c r="Y24" s="45"/>
      <c r="Z24" s="152" t="s">
        <v>59</v>
      </c>
      <c r="AA24" s="51"/>
      <c r="AB24" s="149" t="s">
        <v>107</v>
      </c>
      <c r="AC24" s="52"/>
    </row>
    <row r="25" spans="1:29" ht="10.55" customHeight="1" x14ac:dyDescent="0.2">
      <c r="A25" s="10">
        <v>24</v>
      </c>
      <c r="B25" s="55" t="s">
        <v>243</v>
      </c>
      <c r="C25" s="6" t="s">
        <v>241</v>
      </c>
      <c r="D25" s="16" t="s">
        <v>102</v>
      </c>
      <c r="E25" s="12">
        <f t="shared" si="0"/>
        <v>954134</v>
      </c>
      <c r="F25" s="29" t="s">
        <v>43</v>
      </c>
      <c r="G25" s="34">
        <v>54400</v>
      </c>
      <c r="H25" s="30" t="s">
        <v>103</v>
      </c>
      <c r="I25" s="34">
        <v>330667</v>
      </c>
      <c r="J25" s="25" t="s">
        <v>64</v>
      </c>
      <c r="K25" s="37">
        <v>54400</v>
      </c>
      <c r="L25" s="25" t="s">
        <v>242</v>
      </c>
      <c r="M25" s="38">
        <v>330667</v>
      </c>
      <c r="N25" s="23" t="s">
        <v>104</v>
      </c>
      <c r="O25" s="60">
        <v>24000</v>
      </c>
      <c r="P25" s="164" t="s">
        <v>51</v>
      </c>
      <c r="Q25" s="60"/>
      <c r="R25" s="40" t="s">
        <v>71</v>
      </c>
      <c r="S25" s="42">
        <v>32000</v>
      </c>
      <c r="T25" s="158" t="s">
        <v>70</v>
      </c>
      <c r="U25" s="42"/>
      <c r="V25" s="32" t="s">
        <v>202</v>
      </c>
      <c r="W25" s="44">
        <v>128000</v>
      </c>
      <c r="X25" s="156" t="s">
        <v>72</v>
      </c>
      <c r="Y25" s="45"/>
      <c r="Z25" s="152" t="s">
        <v>106</v>
      </c>
      <c r="AA25" s="51"/>
      <c r="AB25" s="149" t="s">
        <v>107</v>
      </c>
      <c r="AC25" s="52"/>
    </row>
    <row r="26" spans="1:29" ht="10.55" customHeight="1" x14ac:dyDescent="0.2">
      <c r="A26" s="10">
        <v>25</v>
      </c>
      <c r="B26" s="55" t="s">
        <v>279</v>
      </c>
      <c r="C26" s="6" t="s">
        <v>280</v>
      </c>
      <c r="D26" s="16" t="s">
        <v>102</v>
      </c>
      <c r="E26" s="12">
        <f t="shared" si="0"/>
        <v>947200</v>
      </c>
      <c r="F26" s="29" t="s">
        <v>43</v>
      </c>
      <c r="G26" s="34">
        <v>54400</v>
      </c>
      <c r="H26" s="30" t="s">
        <v>54</v>
      </c>
      <c r="I26" s="34">
        <v>36800</v>
      </c>
      <c r="J26" s="163" t="s">
        <v>219</v>
      </c>
      <c r="K26" s="37"/>
      <c r="L26" s="25" t="s">
        <v>44</v>
      </c>
      <c r="M26" s="38">
        <v>704000</v>
      </c>
      <c r="N26" s="23" t="s">
        <v>104</v>
      </c>
      <c r="O26" s="60">
        <v>24000</v>
      </c>
      <c r="P26" s="164" t="s">
        <v>50</v>
      </c>
      <c r="Q26" s="59"/>
      <c r="R26" s="158" t="s">
        <v>224</v>
      </c>
      <c r="S26" s="42"/>
      <c r="T26" s="158" t="s">
        <v>35</v>
      </c>
      <c r="U26" s="42"/>
      <c r="V26" s="32" t="s">
        <v>202</v>
      </c>
      <c r="W26" s="44">
        <v>128000</v>
      </c>
      <c r="X26" s="156" t="s">
        <v>209</v>
      </c>
      <c r="Y26" s="45"/>
      <c r="Z26" s="152" t="s">
        <v>106</v>
      </c>
      <c r="AA26" s="51"/>
      <c r="AB26" s="149" t="s">
        <v>59</v>
      </c>
      <c r="AC26" s="52"/>
    </row>
    <row r="27" spans="1:29" ht="10.55" customHeight="1" x14ac:dyDescent="0.2">
      <c r="A27" s="10">
        <v>26</v>
      </c>
      <c r="B27" s="55" t="s">
        <v>435</v>
      </c>
      <c r="C27" s="6" t="s">
        <v>434</v>
      </c>
      <c r="D27" s="16" t="s">
        <v>102</v>
      </c>
      <c r="E27" s="12">
        <f t="shared" si="0"/>
        <v>935467</v>
      </c>
      <c r="F27" s="29" t="s">
        <v>43</v>
      </c>
      <c r="G27" s="34">
        <v>54400</v>
      </c>
      <c r="H27" s="30" t="s">
        <v>103</v>
      </c>
      <c r="I27" s="34">
        <v>330667</v>
      </c>
      <c r="J27" s="163" t="s">
        <v>32</v>
      </c>
      <c r="K27" s="37"/>
      <c r="L27" s="25" t="s">
        <v>299</v>
      </c>
      <c r="M27" s="38">
        <v>54400</v>
      </c>
      <c r="N27" s="164" t="s">
        <v>51</v>
      </c>
      <c r="O27" s="60"/>
      <c r="P27" s="23" t="s">
        <v>220</v>
      </c>
      <c r="Q27" s="60">
        <v>240000</v>
      </c>
      <c r="R27" s="40" t="s">
        <v>233</v>
      </c>
      <c r="S27" s="42">
        <v>128000</v>
      </c>
      <c r="T27" s="158" t="s">
        <v>35</v>
      </c>
      <c r="U27" s="42"/>
      <c r="V27" s="32" t="s">
        <v>202</v>
      </c>
      <c r="W27" s="44">
        <v>128000</v>
      </c>
      <c r="X27" s="156" t="s">
        <v>72</v>
      </c>
      <c r="Y27" s="45"/>
      <c r="Z27" s="152" t="s">
        <v>59</v>
      </c>
      <c r="AA27" s="51"/>
      <c r="AB27" s="149" t="s">
        <v>107</v>
      </c>
      <c r="AC27" s="52"/>
    </row>
    <row r="28" spans="1:29" ht="10.55" customHeight="1" x14ac:dyDescent="0.2">
      <c r="A28" s="10">
        <v>27</v>
      </c>
      <c r="B28" s="55" t="s">
        <v>403</v>
      </c>
      <c r="C28" s="6" t="s">
        <v>430</v>
      </c>
      <c r="D28" s="16" t="s">
        <v>102</v>
      </c>
      <c r="E28" s="12">
        <f t="shared" si="0"/>
        <v>915267</v>
      </c>
      <c r="F28" s="29" t="s">
        <v>43</v>
      </c>
      <c r="G28" s="34">
        <v>54400</v>
      </c>
      <c r="H28" s="30" t="s">
        <v>103</v>
      </c>
      <c r="I28" s="34">
        <v>330667</v>
      </c>
      <c r="J28" s="25" t="s">
        <v>34</v>
      </c>
      <c r="K28" s="35">
        <v>26400</v>
      </c>
      <c r="L28" s="25" t="s">
        <v>64</v>
      </c>
      <c r="M28" s="38">
        <v>54400</v>
      </c>
      <c r="N28" s="23" t="s">
        <v>237</v>
      </c>
      <c r="O28" s="60">
        <v>176000</v>
      </c>
      <c r="P28" s="164" t="s">
        <v>51</v>
      </c>
      <c r="Q28" s="60"/>
      <c r="R28" s="158" t="s">
        <v>213</v>
      </c>
      <c r="S28" s="42"/>
      <c r="T28" s="40" t="s">
        <v>208</v>
      </c>
      <c r="U28" s="42">
        <v>70400</v>
      </c>
      <c r="V28" s="32" t="s">
        <v>202</v>
      </c>
      <c r="W28" s="45">
        <v>128000</v>
      </c>
      <c r="X28" s="156" t="s">
        <v>209</v>
      </c>
      <c r="Y28" s="45"/>
      <c r="Z28" s="152" t="s">
        <v>59</v>
      </c>
      <c r="AA28" s="51"/>
      <c r="AB28" s="47" t="s">
        <v>216</v>
      </c>
      <c r="AC28" s="52">
        <v>75000</v>
      </c>
    </row>
    <row r="29" spans="1:29" ht="10.55" customHeight="1" x14ac:dyDescent="0.2">
      <c r="A29" s="10">
        <v>28</v>
      </c>
      <c r="B29" s="55" t="s">
        <v>359</v>
      </c>
      <c r="C29" s="6" t="s">
        <v>358</v>
      </c>
      <c r="D29" s="16" t="s">
        <v>102</v>
      </c>
      <c r="E29" s="12">
        <f t="shared" si="0"/>
        <v>899800</v>
      </c>
      <c r="F29" s="29" t="s">
        <v>43</v>
      </c>
      <c r="G29" s="34">
        <v>54400</v>
      </c>
      <c r="H29" s="162" t="s">
        <v>56</v>
      </c>
      <c r="I29" s="34"/>
      <c r="J29" s="163" t="s">
        <v>360</v>
      </c>
      <c r="K29" s="37"/>
      <c r="L29" s="163" t="s">
        <v>32</v>
      </c>
      <c r="M29" s="38"/>
      <c r="N29" s="23" t="s">
        <v>237</v>
      </c>
      <c r="O29" s="60">
        <v>176000</v>
      </c>
      <c r="P29" s="23" t="s">
        <v>53</v>
      </c>
      <c r="Q29" s="60">
        <v>268000</v>
      </c>
      <c r="R29" s="40" t="s">
        <v>233</v>
      </c>
      <c r="S29" s="42">
        <v>128000</v>
      </c>
      <c r="T29" s="40" t="s">
        <v>208</v>
      </c>
      <c r="U29" s="42">
        <v>70400</v>
      </c>
      <c r="V29" s="32" t="s">
        <v>202</v>
      </c>
      <c r="W29" s="44">
        <v>128000</v>
      </c>
      <c r="X29" s="156" t="s">
        <v>58</v>
      </c>
      <c r="Y29" s="45"/>
      <c r="Z29" s="152" t="s">
        <v>106</v>
      </c>
      <c r="AA29" s="51"/>
      <c r="AB29" s="47" t="s">
        <v>216</v>
      </c>
      <c r="AC29" s="52">
        <v>75000</v>
      </c>
    </row>
    <row r="30" spans="1:29" ht="10.55" customHeight="1" x14ac:dyDescent="0.2">
      <c r="A30" s="10">
        <v>29</v>
      </c>
      <c r="B30" s="55" t="s">
        <v>419</v>
      </c>
      <c r="C30" s="6" t="s">
        <v>418</v>
      </c>
      <c r="D30" s="16" t="s">
        <v>102</v>
      </c>
      <c r="E30" s="12">
        <f t="shared" si="0"/>
        <v>879067</v>
      </c>
      <c r="F30" s="29" t="s">
        <v>43</v>
      </c>
      <c r="G30" s="34">
        <v>54400</v>
      </c>
      <c r="H30" s="30" t="s">
        <v>229</v>
      </c>
      <c r="I30" s="33">
        <v>330667</v>
      </c>
      <c r="J30" s="25" t="s">
        <v>34</v>
      </c>
      <c r="K30" s="35">
        <v>26400</v>
      </c>
      <c r="L30" s="163" t="s">
        <v>32</v>
      </c>
      <c r="M30" s="37"/>
      <c r="N30" s="23" t="s">
        <v>237</v>
      </c>
      <c r="O30" s="60">
        <v>176000</v>
      </c>
      <c r="P30" s="23" t="s">
        <v>207</v>
      </c>
      <c r="Q30" s="60">
        <v>93200</v>
      </c>
      <c r="R30" s="158" t="s">
        <v>213</v>
      </c>
      <c r="S30" s="42"/>
      <c r="T30" s="40" t="s">
        <v>208</v>
      </c>
      <c r="U30" s="42">
        <v>70400</v>
      </c>
      <c r="V30" s="32" t="s">
        <v>202</v>
      </c>
      <c r="W30" s="44">
        <v>128000</v>
      </c>
      <c r="X30" s="156" t="s">
        <v>62</v>
      </c>
      <c r="Y30" s="45"/>
      <c r="Z30" s="152" t="s">
        <v>225</v>
      </c>
      <c r="AA30" s="51"/>
      <c r="AB30" s="149" t="s">
        <v>107</v>
      </c>
      <c r="AC30" s="52"/>
    </row>
    <row r="31" spans="1:29" ht="10.55" customHeight="1" x14ac:dyDescent="0.2">
      <c r="A31" s="10">
        <v>30</v>
      </c>
      <c r="B31" s="55" t="s">
        <v>367</v>
      </c>
      <c r="C31" s="6" t="s">
        <v>363</v>
      </c>
      <c r="D31" s="16" t="s">
        <v>102</v>
      </c>
      <c r="E31" s="12">
        <f t="shared" si="0"/>
        <v>874000</v>
      </c>
      <c r="F31" s="29" t="s">
        <v>43</v>
      </c>
      <c r="G31" s="34">
        <v>54400</v>
      </c>
      <c r="H31" s="30" t="s">
        <v>236</v>
      </c>
      <c r="I31" s="33">
        <v>176000</v>
      </c>
      <c r="J31" s="25" t="s">
        <v>64</v>
      </c>
      <c r="K31" s="37">
        <v>54400</v>
      </c>
      <c r="L31" s="163" t="s">
        <v>32</v>
      </c>
      <c r="M31" s="38"/>
      <c r="N31" s="23" t="s">
        <v>60</v>
      </c>
      <c r="O31" s="59">
        <v>93200</v>
      </c>
      <c r="P31" s="23" t="s">
        <v>220</v>
      </c>
      <c r="Q31" s="60">
        <v>240000</v>
      </c>
      <c r="R31" s="158" t="s">
        <v>253</v>
      </c>
      <c r="S31" s="42"/>
      <c r="T31" s="40" t="s">
        <v>233</v>
      </c>
      <c r="U31" s="42">
        <v>128000</v>
      </c>
      <c r="V31" s="32" t="s">
        <v>202</v>
      </c>
      <c r="W31" s="44">
        <v>128000</v>
      </c>
      <c r="X31" s="156" t="s">
        <v>72</v>
      </c>
      <c r="Y31" s="45"/>
      <c r="Z31" s="152" t="s">
        <v>225</v>
      </c>
      <c r="AA31" s="51"/>
      <c r="AB31" s="149" t="s">
        <v>107</v>
      </c>
      <c r="AC31" s="52"/>
    </row>
    <row r="32" spans="1:29" ht="10.55" customHeight="1" x14ac:dyDescent="0.2">
      <c r="A32" s="10">
        <v>31</v>
      </c>
      <c r="B32" s="56" t="s">
        <v>266</v>
      </c>
      <c r="C32" s="6" t="s">
        <v>265</v>
      </c>
      <c r="D32" s="17" t="s">
        <v>102</v>
      </c>
      <c r="E32" s="12">
        <f t="shared" si="0"/>
        <v>873867</v>
      </c>
      <c r="F32" s="29" t="s">
        <v>43</v>
      </c>
      <c r="G32" s="34">
        <v>54400</v>
      </c>
      <c r="H32" s="30" t="s">
        <v>229</v>
      </c>
      <c r="I32" s="34">
        <v>330667</v>
      </c>
      <c r="J32" s="25" t="s">
        <v>34</v>
      </c>
      <c r="K32" s="35">
        <v>26400</v>
      </c>
      <c r="L32" s="25" t="s">
        <v>64</v>
      </c>
      <c r="M32" s="38">
        <v>54400</v>
      </c>
      <c r="N32" s="23" t="s">
        <v>237</v>
      </c>
      <c r="O32" s="59">
        <v>176000</v>
      </c>
      <c r="P32" s="23" t="s">
        <v>66</v>
      </c>
      <c r="Q32" s="60">
        <v>43200</v>
      </c>
      <c r="R32" s="40" t="s">
        <v>71</v>
      </c>
      <c r="S32" s="42">
        <v>32000</v>
      </c>
      <c r="T32" s="40" t="s">
        <v>201</v>
      </c>
      <c r="U32" s="42">
        <v>28800</v>
      </c>
      <c r="V32" s="32" t="s">
        <v>202</v>
      </c>
      <c r="W32" s="44">
        <v>128000</v>
      </c>
      <c r="X32" s="156" t="s">
        <v>209</v>
      </c>
      <c r="Y32" s="45"/>
      <c r="Z32" s="152" t="s">
        <v>59</v>
      </c>
      <c r="AA32" s="51"/>
      <c r="AB32" s="149" t="s">
        <v>107</v>
      </c>
      <c r="AC32" s="52"/>
    </row>
    <row r="33" spans="1:29" ht="10.55" customHeight="1" x14ac:dyDescent="0.2">
      <c r="A33" s="10">
        <v>32</v>
      </c>
      <c r="B33" s="55" t="s">
        <v>442</v>
      </c>
      <c r="C33" s="21" t="s">
        <v>440</v>
      </c>
      <c r="D33" s="16" t="s">
        <v>102</v>
      </c>
      <c r="E33" s="12">
        <f t="shared" si="0"/>
        <v>861067</v>
      </c>
      <c r="F33" s="29" t="s">
        <v>229</v>
      </c>
      <c r="G33" s="34">
        <v>330667</v>
      </c>
      <c r="H33" s="30" t="s">
        <v>273</v>
      </c>
      <c r="I33" s="33">
        <v>176000</v>
      </c>
      <c r="J33" s="25" t="s">
        <v>34</v>
      </c>
      <c r="K33" s="37">
        <v>26400</v>
      </c>
      <c r="L33" s="163" t="s">
        <v>67</v>
      </c>
      <c r="M33" s="38"/>
      <c r="N33" s="23" t="s">
        <v>237</v>
      </c>
      <c r="O33" s="60">
        <v>176000</v>
      </c>
      <c r="P33" s="23" t="s">
        <v>104</v>
      </c>
      <c r="Q33" s="60">
        <v>24000</v>
      </c>
      <c r="R33" s="158" t="s">
        <v>196</v>
      </c>
      <c r="S33" s="42"/>
      <c r="T33" s="158" t="s">
        <v>35</v>
      </c>
      <c r="U33" s="42"/>
      <c r="V33" s="32" t="s">
        <v>202</v>
      </c>
      <c r="W33" s="44">
        <v>128000</v>
      </c>
      <c r="X33" s="156" t="s">
        <v>209</v>
      </c>
      <c r="Y33" s="45"/>
      <c r="Z33" s="152" t="s">
        <v>215</v>
      </c>
      <c r="AA33" s="51"/>
      <c r="AB33" s="149" t="s">
        <v>107</v>
      </c>
      <c r="AC33" s="52"/>
    </row>
    <row r="34" spans="1:29" ht="10.55" customHeight="1" x14ac:dyDescent="0.2">
      <c r="A34" s="10">
        <v>33</v>
      </c>
      <c r="B34" s="56" t="s">
        <v>227</v>
      </c>
      <c r="C34" s="20" t="s">
        <v>226</v>
      </c>
      <c r="D34" s="17" t="s">
        <v>102</v>
      </c>
      <c r="E34" s="12">
        <f t="shared" ref="E34:E65" si="1">SUM(G34)+I34+K34+M34+O34+Q34+S34+U34+W34+Y34+AA34+AC34</f>
        <v>858067</v>
      </c>
      <c r="F34" s="161" t="s">
        <v>33</v>
      </c>
      <c r="G34" s="34"/>
      <c r="H34" s="30" t="s">
        <v>103</v>
      </c>
      <c r="I34" s="34">
        <v>330667</v>
      </c>
      <c r="J34" s="25" t="s">
        <v>34</v>
      </c>
      <c r="K34" s="35">
        <v>26400</v>
      </c>
      <c r="L34" s="163" t="s">
        <v>63</v>
      </c>
      <c r="M34" s="38"/>
      <c r="N34" s="23" t="s">
        <v>207</v>
      </c>
      <c r="O34" s="60">
        <v>93200</v>
      </c>
      <c r="P34" s="23" t="s">
        <v>68</v>
      </c>
      <c r="Q34" s="60">
        <v>176000</v>
      </c>
      <c r="R34" s="158" t="s">
        <v>213</v>
      </c>
      <c r="S34" s="42"/>
      <c r="T34" s="40" t="s">
        <v>201</v>
      </c>
      <c r="U34" s="42">
        <v>28800</v>
      </c>
      <c r="V34" s="32" t="s">
        <v>202</v>
      </c>
      <c r="W34" s="44">
        <v>128000</v>
      </c>
      <c r="X34" s="156" t="s">
        <v>209</v>
      </c>
      <c r="Y34" s="45"/>
      <c r="Z34" s="152" t="s">
        <v>225</v>
      </c>
      <c r="AA34" s="51"/>
      <c r="AB34" s="47" t="s">
        <v>216</v>
      </c>
      <c r="AC34" s="52">
        <v>75000</v>
      </c>
    </row>
    <row r="35" spans="1:29" ht="10.55" customHeight="1" x14ac:dyDescent="0.2">
      <c r="A35" s="10">
        <v>34</v>
      </c>
      <c r="B35" s="55" t="s">
        <v>283</v>
      </c>
      <c r="C35" s="20" t="s">
        <v>284</v>
      </c>
      <c r="D35" s="16" t="s">
        <v>102</v>
      </c>
      <c r="E35" s="12">
        <f t="shared" si="1"/>
        <v>857467</v>
      </c>
      <c r="F35" s="29" t="s">
        <v>43</v>
      </c>
      <c r="G35" s="34">
        <v>54400</v>
      </c>
      <c r="H35" s="30" t="s">
        <v>103</v>
      </c>
      <c r="I35" s="34">
        <v>330667</v>
      </c>
      <c r="J35" s="25" t="s">
        <v>55</v>
      </c>
      <c r="K35" s="37">
        <v>128000</v>
      </c>
      <c r="L35" s="25" t="s">
        <v>64</v>
      </c>
      <c r="M35" s="38">
        <v>54400</v>
      </c>
      <c r="N35" s="23" t="s">
        <v>212</v>
      </c>
      <c r="O35" s="60">
        <v>36800</v>
      </c>
      <c r="P35" s="23" t="s">
        <v>61</v>
      </c>
      <c r="Q35" s="60">
        <v>93200</v>
      </c>
      <c r="R35" s="40" t="s">
        <v>71</v>
      </c>
      <c r="S35" s="42">
        <v>32000</v>
      </c>
      <c r="T35" s="158" t="s">
        <v>35</v>
      </c>
      <c r="U35" s="42"/>
      <c r="V35" s="32" t="s">
        <v>202</v>
      </c>
      <c r="W35" s="44">
        <v>128000</v>
      </c>
      <c r="X35" s="156" t="s">
        <v>62</v>
      </c>
      <c r="Y35" s="45"/>
      <c r="Z35" s="152" t="s">
        <v>59</v>
      </c>
      <c r="AA35" s="51"/>
      <c r="AB35" s="149" t="s">
        <v>107</v>
      </c>
      <c r="AC35" s="52"/>
    </row>
    <row r="36" spans="1:29" ht="10.55" customHeight="1" x14ac:dyDescent="0.2">
      <c r="A36" s="10">
        <v>35</v>
      </c>
      <c r="B36" s="55" t="s">
        <v>370</v>
      </c>
      <c r="C36" s="4" t="s">
        <v>365</v>
      </c>
      <c r="D36" s="16" t="s">
        <v>102</v>
      </c>
      <c r="E36" s="12">
        <f t="shared" si="1"/>
        <v>851867</v>
      </c>
      <c r="F36" s="29" t="s">
        <v>43</v>
      </c>
      <c r="G36" s="34">
        <v>54400</v>
      </c>
      <c r="H36" s="30" t="s">
        <v>103</v>
      </c>
      <c r="I36" s="34">
        <v>330667</v>
      </c>
      <c r="J36" s="25" t="s">
        <v>34</v>
      </c>
      <c r="K36" s="35">
        <v>26400</v>
      </c>
      <c r="L36" s="25" t="s">
        <v>369</v>
      </c>
      <c r="M36" s="38">
        <v>54400</v>
      </c>
      <c r="N36" s="23" t="s">
        <v>207</v>
      </c>
      <c r="O36" s="60">
        <v>93200</v>
      </c>
      <c r="P36" s="23" t="s">
        <v>212</v>
      </c>
      <c r="Q36" s="60">
        <v>36800</v>
      </c>
      <c r="R36" s="158" t="s">
        <v>213</v>
      </c>
      <c r="S36" s="42"/>
      <c r="T36" s="40" t="s">
        <v>233</v>
      </c>
      <c r="U36" s="42">
        <v>128000</v>
      </c>
      <c r="V36" s="32" t="s">
        <v>202</v>
      </c>
      <c r="W36" s="44">
        <v>128000</v>
      </c>
      <c r="X36" s="156" t="s">
        <v>209</v>
      </c>
      <c r="Y36" s="45"/>
      <c r="Z36" s="152" t="s">
        <v>225</v>
      </c>
      <c r="AA36" s="51"/>
      <c r="AB36" s="149" t="s">
        <v>107</v>
      </c>
      <c r="AC36" s="52"/>
    </row>
    <row r="37" spans="1:29" ht="10.55" customHeight="1" x14ac:dyDescent="0.2">
      <c r="A37" s="10">
        <v>36</v>
      </c>
      <c r="B37" s="55" t="s">
        <v>368</v>
      </c>
      <c r="C37" s="6" t="s">
        <v>364</v>
      </c>
      <c r="D37" s="16" t="s">
        <v>102</v>
      </c>
      <c r="E37" s="12">
        <f t="shared" si="1"/>
        <v>835200</v>
      </c>
      <c r="F37" s="29" t="s">
        <v>43</v>
      </c>
      <c r="G37" s="34">
        <v>54400</v>
      </c>
      <c r="H37" s="30" t="s">
        <v>273</v>
      </c>
      <c r="I37" s="34">
        <v>176000</v>
      </c>
      <c r="J37" s="25" t="s">
        <v>64</v>
      </c>
      <c r="K37" s="37">
        <v>54400</v>
      </c>
      <c r="L37" s="25" t="s">
        <v>299</v>
      </c>
      <c r="M37" s="38">
        <v>54400</v>
      </c>
      <c r="N37" s="164" t="s">
        <v>51</v>
      </c>
      <c r="O37" s="60"/>
      <c r="P37" s="23" t="s">
        <v>220</v>
      </c>
      <c r="Q37" s="60">
        <v>240000</v>
      </c>
      <c r="R37" s="158" t="s">
        <v>213</v>
      </c>
      <c r="S37" s="42"/>
      <c r="T37" s="40" t="s">
        <v>233</v>
      </c>
      <c r="U37" s="42">
        <v>128000</v>
      </c>
      <c r="V37" s="32" t="s">
        <v>202</v>
      </c>
      <c r="W37" s="44">
        <v>128000</v>
      </c>
      <c r="X37" s="156" t="s">
        <v>73</v>
      </c>
      <c r="Y37" s="45"/>
      <c r="Z37" s="152" t="s">
        <v>225</v>
      </c>
      <c r="AA37" s="51"/>
      <c r="AB37" s="149" t="s">
        <v>107</v>
      </c>
      <c r="AC37" s="52"/>
    </row>
    <row r="38" spans="1:29" ht="10.55" customHeight="1" x14ac:dyDescent="0.2">
      <c r="A38" s="10">
        <v>37</v>
      </c>
      <c r="B38" s="55" t="s">
        <v>292</v>
      </c>
      <c r="C38" s="20" t="s">
        <v>293</v>
      </c>
      <c r="D38" s="16" t="s">
        <v>102</v>
      </c>
      <c r="E38" s="12">
        <f t="shared" si="1"/>
        <v>827000</v>
      </c>
      <c r="F38" s="29" t="s">
        <v>206</v>
      </c>
      <c r="G38" s="34">
        <v>36800</v>
      </c>
      <c r="H38" s="30" t="s">
        <v>236</v>
      </c>
      <c r="I38" s="33">
        <v>176000</v>
      </c>
      <c r="J38" s="163" t="s">
        <v>294</v>
      </c>
      <c r="K38" s="35"/>
      <c r="L38" s="25" t="s">
        <v>55</v>
      </c>
      <c r="M38" s="37">
        <v>128000</v>
      </c>
      <c r="N38" s="164" t="s">
        <v>51</v>
      </c>
      <c r="O38" s="60"/>
      <c r="P38" s="23" t="s">
        <v>220</v>
      </c>
      <c r="Q38" s="60">
        <v>240000</v>
      </c>
      <c r="R38" s="40" t="s">
        <v>256</v>
      </c>
      <c r="S38" s="42">
        <v>43200</v>
      </c>
      <c r="T38" s="158" t="s">
        <v>35</v>
      </c>
      <c r="U38" s="42"/>
      <c r="V38" s="32" t="s">
        <v>202</v>
      </c>
      <c r="W38" s="44">
        <v>128000</v>
      </c>
      <c r="X38" s="156" t="s">
        <v>58</v>
      </c>
      <c r="Y38" s="45"/>
      <c r="Z38" s="152" t="s">
        <v>106</v>
      </c>
      <c r="AA38" s="51"/>
      <c r="AB38" s="47" t="s">
        <v>216</v>
      </c>
      <c r="AC38" s="52">
        <v>75000</v>
      </c>
    </row>
    <row r="39" spans="1:29" ht="10.55" customHeight="1" x14ac:dyDescent="0.2">
      <c r="A39" s="10">
        <v>38</v>
      </c>
      <c r="B39" s="55" t="s">
        <v>348</v>
      </c>
      <c r="C39" s="6" t="s">
        <v>349</v>
      </c>
      <c r="D39" s="16" t="s">
        <v>102</v>
      </c>
      <c r="E39" s="12">
        <f t="shared" si="1"/>
        <v>813067</v>
      </c>
      <c r="F39" s="29" t="s">
        <v>43</v>
      </c>
      <c r="G39" s="34">
        <v>54400</v>
      </c>
      <c r="H39" s="30" t="s">
        <v>103</v>
      </c>
      <c r="I39" s="34">
        <v>330667</v>
      </c>
      <c r="J39" s="25" t="s">
        <v>34</v>
      </c>
      <c r="K39" s="37">
        <v>26400</v>
      </c>
      <c r="L39" s="25" t="s">
        <v>299</v>
      </c>
      <c r="M39" s="37">
        <v>54400</v>
      </c>
      <c r="N39" s="23" t="s">
        <v>237</v>
      </c>
      <c r="O39" s="60">
        <v>176000</v>
      </c>
      <c r="P39" s="23" t="s">
        <v>66</v>
      </c>
      <c r="Q39" s="60">
        <v>43200</v>
      </c>
      <c r="R39" s="158" t="s">
        <v>196</v>
      </c>
      <c r="S39" s="42"/>
      <c r="T39" s="158" t="s">
        <v>69</v>
      </c>
      <c r="U39" s="42"/>
      <c r="V39" s="32" t="s">
        <v>202</v>
      </c>
      <c r="W39" s="44">
        <v>128000</v>
      </c>
      <c r="X39" s="156" t="s">
        <v>203</v>
      </c>
      <c r="Y39" s="45"/>
      <c r="Z39" s="152" t="s">
        <v>106</v>
      </c>
      <c r="AA39" s="51"/>
      <c r="AB39" s="149" t="s">
        <v>59</v>
      </c>
      <c r="AC39" s="52"/>
    </row>
    <row r="40" spans="1:29" ht="10.55" customHeight="1" x14ac:dyDescent="0.2">
      <c r="A40" s="10">
        <v>39</v>
      </c>
      <c r="B40" s="55" t="s">
        <v>395</v>
      </c>
      <c r="C40" s="6" t="s">
        <v>396</v>
      </c>
      <c r="D40" s="16" t="s">
        <v>102</v>
      </c>
      <c r="E40" s="12">
        <f t="shared" si="1"/>
        <v>801867</v>
      </c>
      <c r="F40" s="29" t="s">
        <v>43</v>
      </c>
      <c r="G40" s="33">
        <v>54400</v>
      </c>
      <c r="H40" s="30" t="s">
        <v>103</v>
      </c>
      <c r="I40" s="34">
        <v>330667</v>
      </c>
      <c r="J40" s="25" t="s">
        <v>34</v>
      </c>
      <c r="K40" s="35">
        <v>26400</v>
      </c>
      <c r="L40" s="25" t="s">
        <v>64</v>
      </c>
      <c r="M40" s="38">
        <v>54400</v>
      </c>
      <c r="N40" s="23" t="s">
        <v>237</v>
      </c>
      <c r="O40" s="60">
        <v>176000</v>
      </c>
      <c r="P40" s="164" t="s">
        <v>51</v>
      </c>
      <c r="Q40" s="59"/>
      <c r="R40" s="40" t="s">
        <v>71</v>
      </c>
      <c r="S40" s="42">
        <v>32000</v>
      </c>
      <c r="T40" s="158" t="s">
        <v>35</v>
      </c>
      <c r="U40" s="42"/>
      <c r="V40" s="32" t="s">
        <v>202</v>
      </c>
      <c r="W40" s="44">
        <v>128000</v>
      </c>
      <c r="X40" s="156" t="s">
        <v>209</v>
      </c>
      <c r="Y40" s="45"/>
      <c r="Z40" s="152" t="s">
        <v>106</v>
      </c>
      <c r="AA40" s="51"/>
      <c r="AB40" s="149" t="s">
        <v>107</v>
      </c>
      <c r="AC40" s="52"/>
    </row>
    <row r="41" spans="1:29" ht="10.55" customHeight="1" x14ac:dyDescent="0.2">
      <c r="A41" s="10">
        <v>40</v>
      </c>
      <c r="B41" s="55" t="s">
        <v>204</v>
      </c>
      <c r="C41" s="21" t="s">
        <v>205</v>
      </c>
      <c r="D41" s="16" t="s">
        <v>102</v>
      </c>
      <c r="E41" s="12">
        <f t="shared" si="1"/>
        <v>794267</v>
      </c>
      <c r="F41" s="29" t="s">
        <v>206</v>
      </c>
      <c r="G41" s="34">
        <v>36800</v>
      </c>
      <c r="H41" s="30" t="s">
        <v>103</v>
      </c>
      <c r="I41" s="33">
        <v>330667</v>
      </c>
      <c r="J41" s="25" t="s">
        <v>34</v>
      </c>
      <c r="K41" s="35">
        <v>26400</v>
      </c>
      <c r="L41" s="25" t="s">
        <v>199</v>
      </c>
      <c r="M41" s="38">
        <v>36800</v>
      </c>
      <c r="N41" s="23" t="s">
        <v>207</v>
      </c>
      <c r="O41" s="60">
        <v>93200</v>
      </c>
      <c r="P41" s="23" t="s">
        <v>66</v>
      </c>
      <c r="Q41" s="60">
        <v>43200</v>
      </c>
      <c r="R41" s="40" t="s">
        <v>208</v>
      </c>
      <c r="S41" s="42">
        <v>70400</v>
      </c>
      <c r="T41" s="40" t="s">
        <v>201</v>
      </c>
      <c r="U41" s="42">
        <v>28800</v>
      </c>
      <c r="V41" s="32" t="s">
        <v>202</v>
      </c>
      <c r="W41" s="44">
        <v>128000</v>
      </c>
      <c r="X41" s="156" t="s">
        <v>209</v>
      </c>
      <c r="Y41" s="45"/>
      <c r="Z41" s="152" t="s">
        <v>59</v>
      </c>
      <c r="AA41" s="51"/>
      <c r="AB41" s="149" t="s">
        <v>107</v>
      </c>
      <c r="AC41" s="52"/>
    </row>
    <row r="42" spans="1:29" ht="10.55" customHeight="1" x14ac:dyDescent="0.2">
      <c r="A42" s="10">
        <v>41</v>
      </c>
      <c r="B42" s="55" t="s">
        <v>340</v>
      </c>
      <c r="C42" s="6" t="s">
        <v>406</v>
      </c>
      <c r="D42" s="16" t="s">
        <v>102</v>
      </c>
      <c r="E42" s="12">
        <f t="shared" si="1"/>
        <v>792667</v>
      </c>
      <c r="F42" s="29" t="s">
        <v>291</v>
      </c>
      <c r="G42" s="34">
        <v>128000</v>
      </c>
      <c r="H42" s="30" t="s">
        <v>103</v>
      </c>
      <c r="I42" s="34">
        <v>330667</v>
      </c>
      <c r="J42" s="25" t="s">
        <v>34</v>
      </c>
      <c r="K42" s="37">
        <v>26400</v>
      </c>
      <c r="L42" s="25" t="s">
        <v>64</v>
      </c>
      <c r="M42" s="38">
        <v>54400</v>
      </c>
      <c r="N42" s="164" t="s">
        <v>51</v>
      </c>
      <c r="O42" s="60"/>
      <c r="P42" s="23" t="s">
        <v>60</v>
      </c>
      <c r="Q42" s="60">
        <v>93200</v>
      </c>
      <c r="R42" s="40" t="s">
        <v>71</v>
      </c>
      <c r="S42" s="42">
        <v>32000</v>
      </c>
      <c r="T42" s="158" t="s">
        <v>213</v>
      </c>
      <c r="U42" s="42"/>
      <c r="V42" s="32" t="s">
        <v>202</v>
      </c>
      <c r="W42" s="44">
        <v>128000</v>
      </c>
      <c r="X42" s="156" t="s">
        <v>209</v>
      </c>
      <c r="Y42" s="45"/>
      <c r="Z42" s="152" t="s">
        <v>225</v>
      </c>
      <c r="AA42" s="51"/>
      <c r="AB42" s="149" t="s">
        <v>59</v>
      </c>
      <c r="AC42" s="52"/>
    </row>
    <row r="43" spans="1:29" ht="10.55" customHeight="1" x14ac:dyDescent="0.2">
      <c r="A43" s="10">
        <v>42</v>
      </c>
      <c r="B43" s="55" t="s">
        <v>411</v>
      </c>
      <c r="C43" s="6" t="s">
        <v>412</v>
      </c>
      <c r="D43" s="16" t="s">
        <v>102</v>
      </c>
      <c r="E43" s="12">
        <f t="shared" si="1"/>
        <v>791800</v>
      </c>
      <c r="F43" s="29" t="s">
        <v>236</v>
      </c>
      <c r="G43" s="34">
        <v>176000</v>
      </c>
      <c r="H43" s="162" t="s">
        <v>33</v>
      </c>
      <c r="I43" s="33"/>
      <c r="J43" s="163" t="s">
        <v>219</v>
      </c>
      <c r="K43" s="35"/>
      <c r="L43" s="25" t="s">
        <v>199</v>
      </c>
      <c r="M43" s="37">
        <v>36800</v>
      </c>
      <c r="N43" s="23" t="s">
        <v>212</v>
      </c>
      <c r="O43" s="60">
        <v>36800</v>
      </c>
      <c r="P43" s="23" t="s">
        <v>220</v>
      </c>
      <c r="Q43" s="60">
        <v>240000</v>
      </c>
      <c r="R43" s="40" t="s">
        <v>208</v>
      </c>
      <c r="S43" s="42">
        <v>70400</v>
      </c>
      <c r="T43" s="40" t="s">
        <v>201</v>
      </c>
      <c r="U43" s="42">
        <v>28800</v>
      </c>
      <c r="V43" s="32" t="s">
        <v>202</v>
      </c>
      <c r="W43" s="44">
        <v>128000</v>
      </c>
      <c r="X43" s="156" t="s">
        <v>62</v>
      </c>
      <c r="Y43" s="45"/>
      <c r="Z43" s="152" t="s">
        <v>225</v>
      </c>
      <c r="AA43" s="51"/>
      <c r="AB43" s="47" t="s">
        <v>216</v>
      </c>
      <c r="AC43" s="52">
        <v>75000</v>
      </c>
    </row>
    <row r="44" spans="1:29" ht="10.55" customHeight="1" x14ac:dyDescent="0.2">
      <c r="A44" s="10">
        <v>43</v>
      </c>
      <c r="B44" s="55" t="s">
        <v>259</v>
      </c>
      <c r="C44" s="6" t="s">
        <v>260</v>
      </c>
      <c r="D44" s="16" t="s">
        <v>102</v>
      </c>
      <c r="E44" s="12">
        <f t="shared" si="1"/>
        <v>781867</v>
      </c>
      <c r="F44" s="29" t="s">
        <v>43</v>
      </c>
      <c r="G44" s="34">
        <v>54400</v>
      </c>
      <c r="H44" s="30" t="s">
        <v>103</v>
      </c>
      <c r="I44" s="34">
        <v>330667</v>
      </c>
      <c r="J44" s="163" t="s">
        <v>32</v>
      </c>
      <c r="K44" s="35"/>
      <c r="L44" s="25" t="s">
        <v>199</v>
      </c>
      <c r="M44" s="38">
        <v>36800</v>
      </c>
      <c r="N44" s="23" t="s">
        <v>104</v>
      </c>
      <c r="O44" s="60">
        <v>24000</v>
      </c>
      <c r="P44" s="23" t="s">
        <v>237</v>
      </c>
      <c r="Q44" s="60">
        <v>176000</v>
      </c>
      <c r="R44" s="40" t="s">
        <v>71</v>
      </c>
      <c r="S44" s="42">
        <v>32000</v>
      </c>
      <c r="T44" s="158" t="s">
        <v>213</v>
      </c>
      <c r="U44" s="42"/>
      <c r="V44" s="32" t="s">
        <v>202</v>
      </c>
      <c r="W44" s="44">
        <v>128000</v>
      </c>
      <c r="X44" s="156" t="s">
        <v>209</v>
      </c>
      <c r="Y44" s="45"/>
      <c r="Z44" s="152" t="s">
        <v>106</v>
      </c>
      <c r="AA44" s="51"/>
      <c r="AB44" s="149" t="s">
        <v>59</v>
      </c>
      <c r="AC44" s="52"/>
    </row>
    <row r="45" spans="1:29" ht="10.55" customHeight="1" x14ac:dyDescent="0.2">
      <c r="A45" s="10">
        <v>44</v>
      </c>
      <c r="B45" s="55" t="s">
        <v>333</v>
      </c>
      <c r="C45" s="6" t="s">
        <v>308</v>
      </c>
      <c r="D45" s="16" t="s">
        <v>303</v>
      </c>
      <c r="E45" s="12">
        <f t="shared" si="1"/>
        <v>780800</v>
      </c>
      <c r="F45" s="29" t="s">
        <v>43</v>
      </c>
      <c r="G45" s="34">
        <v>54400</v>
      </c>
      <c r="H45" s="30" t="s">
        <v>236</v>
      </c>
      <c r="I45" s="34">
        <v>176000</v>
      </c>
      <c r="J45" s="25" t="s">
        <v>34</v>
      </c>
      <c r="K45" s="35">
        <v>26400</v>
      </c>
      <c r="L45" s="163" t="s">
        <v>67</v>
      </c>
      <c r="M45" s="38"/>
      <c r="N45" s="164" t="s">
        <v>51</v>
      </c>
      <c r="O45" s="60"/>
      <c r="P45" s="23" t="s">
        <v>53</v>
      </c>
      <c r="Q45" s="60">
        <v>268000</v>
      </c>
      <c r="R45" s="40" t="s">
        <v>233</v>
      </c>
      <c r="S45" s="42">
        <v>128000</v>
      </c>
      <c r="T45" s="158" t="s">
        <v>286</v>
      </c>
      <c r="U45" s="42"/>
      <c r="V45" s="32" t="s">
        <v>202</v>
      </c>
      <c r="W45" s="44">
        <v>128000</v>
      </c>
      <c r="X45" s="156" t="s">
        <v>73</v>
      </c>
      <c r="Y45" s="45"/>
      <c r="Z45" s="152" t="s">
        <v>215</v>
      </c>
      <c r="AA45" s="52"/>
      <c r="AB45" s="149" t="s">
        <v>107</v>
      </c>
      <c r="AC45" s="52"/>
    </row>
    <row r="46" spans="1:29" ht="10.55" customHeight="1" x14ac:dyDescent="0.2">
      <c r="A46" s="10">
        <v>45</v>
      </c>
      <c r="B46" s="55" t="s">
        <v>437</v>
      </c>
      <c r="C46" s="6" t="s">
        <v>436</v>
      </c>
      <c r="D46" s="16" t="s">
        <v>102</v>
      </c>
      <c r="E46" s="12">
        <f t="shared" si="1"/>
        <v>752800</v>
      </c>
      <c r="F46" s="29" t="s">
        <v>291</v>
      </c>
      <c r="G46" s="34">
        <v>128000</v>
      </c>
      <c r="H46" s="30" t="s">
        <v>43</v>
      </c>
      <c r="I46" s="33">
        <v>54400</v>
      </c>
      <c r="J46" s="25" t="s">
        <v>34</v>
      </c>
      <c r="K46" s="35">
        <v>26400</v>
      </c>
      <c r="L46" s="163" t="s">
        <v>52</v>
      </c>
      <c r="M46" s="38"/>
      <c r="N46" s="23" t="s">
        <v>237</v>
      </c>
      <c r="O46" s="60">
        <v>176000</v>
      </c>
      <c r="P46" s="23" t="s">
        <v>220</v>
      </c>
      <c r="Q46" s="60">
        <v>240000</v>
      </c>
      <c r="R46" s="158" t="s">
        <v>253</v>
      </c>
      <c r="S46" s="42"/>
      <c r="T46" s="158" t="s">
        <v>214</v>
      </c>
      <c r="U46" s="42"/>
      <c r="V46" s="32" t="s">
        <v>202</v>
      </c>
      <c r="W46" s="44">
        <v>128000</v>
      </c>
      <c r="X46" s="156" t="s">
        <v>72</v>
      </c>
      <c r="Y46" s="45"/>
      <c r="Z46" s="152" t="s">
        <v>106</v>
      </c>
      <c r="AA46" s="52"/>
      <c r="AB46" s="149" t="s">
        <v>107</v>
      </c>
      <c r="AC46" s="52"/>
    </row>
    <row r="47" spans="1:29" ht="10.55" customHeight="1" x14ac:dyDescent="0.2">
      <c r="A47" s="10">
        <v>46</v>
      </c>
      <c r="B47" s="55" t="s">
        <v>270</v>
      </c>
      <c r="C47" s="6" t="s">
        <v>271</v>
      </c>
      <c r="D47" s="16" t="s">
        <v>102</v>
      </c>
      <c r="E47" s="12">
        <f t="shared" si="1"/>
        <v>752267</v>
      </c>
      <c r="F47" s="29" t="s">
        <v>43</v>
      </c>
      <c r="G47" s="34">
        <v>54400</v>
      </c>
      <c r="H47" s="30" t="s">
        <v>103</v>
      </c>
      <c r="I47" s="33">
        <v>330667</v>
      </c>
      <c r="J47" s="25" t="s">
        <v>34</v>
      </c>
      <c r="K47" s="35">
        <v>26400</v>
      </c>
      <c r="L47" s="163" t="s">
        <v>32</v>
      </c>
      <c r="M47" s="38"/>
      <c r="N47" s="23" t="s">
        <v>212</v>
      </c>
      <c r="O47" s="60">
        <v>36800</v>
      </c>
      <c r="P47" s="23" t="s">
        <v>237</v>
      </c>
      <c r="Q47" s="60">
        <v>176000</v>
      </c>
      <c r="R47" s="158" t="s">
        <v>196</v>
      </c>
      <c r="S47" s="42"/>
      <c r="T47" s="158" t="s">
        <v>35</v>
      </c>
      <c r="U47" s="42"/>
      <c r="V47" s="32" t="s">
        <v>202</v>
      </c>
      <c r="W47" s="44">
        <v>128000</v>
      </c>
      <c r="X47" s="156" t="s">
        <v>58</v>
      </c>
      <c r="Y47" s="45"/>
      <c r="Z47" s="152" t="s">
        <v>215</v>
      </c>
      <c r="AA47" s="52"/>
      <c r="AB47" s="149" t="s">
        <v>59</v>
      </c>
      <c r="AC47" s="52"/>
    </row>
    <row r="48" spans="1:29" ht="10.55" customHeight="1" x14ac:dyDescent="0.2">
      <c r="A48" s="10">
        <v>47</v>
      </c>
      <c r="B48" s="55" t="s">
        <v>374</v>
      </c>
      <c r="C48" s="6" t="s">
        <v>372</v>
      </c>
      <c r="D48" s="17" t="s">
        <v>102</v>
      </c>
      <c r="E48" s="12">
        <f t="shared" si="1"/>
        <v>751200</v>
      </c>
      <c r="F48" s="29" t="s">
        <v>43</v>
      </c>
      <c r="G48" s="34">
        <v>54400</v>
      </c>
      <c r="H48" s="30" t="s">
        <v>236</v>
      </c>
      <c r="I48" s="33">
        <v>176000</v>
      </c>
      <c r="J48" s="25" t="s">
        <v>64</v>
      </c>
      <c r="K48" s="35">
        <v>54400</v>
      </c>
      <c r="L48" s="163" t="s">
        <v>32</v>
      </c>
      <c r="M48" s="38"/>
      <c r="N48" s="23" t="s">
        <v>53</v>
      </c>
      <c r="O48" s="60">
        <v>268000</v>
      </c>
      <c r="P48" s="164" t="s">
        <v>51</v>
      </c>
      <c r="Q48" s="60"/>
      <c r="R48" s="40" t="s">
        <v>208</v>
      </c>
      <c r="S48" s="42">
        <v>70400</v>
      </c>
      <c r="T48" s="158" t="s">
        <v>35</v>
      </c>
      <c r="U48" s="42"/>
      <c r="V48" s="32" t="s">
        <v>202</v>
      </c>
      <c r="W48" s="45">
        <v>128000</v>
      </c>
      <c r="X48" s="156" t="s">
        <v>62</v>
      </c>
      <c r="Y48" s="45"/>
      <c r="Z48" s="152" t="s">
        <v>59</v>
      </c>
      <c r="AA48" s="52"/>
      <c r="AB48" s="149" t="s">
        <v>107</v>
      </c>
      <c r="AC48" s="52"/>
    </row>
    <row r="49" spans="1:29" ht="10.55" customHeight="1" x14ac:dyDescent="0.2">
      <c r="A49" s="10">
        <v>48</v>
      </c>
      <c r="B49" s="55" t="s">
        <v>401</v>
      </c>
      <c r="C49" s="6" t="s">
        <v>402</v>
      </c>
      <c r="D49" s="16" t="s">
        <v>102</v>
      </c>
      <c r="E49" s="12">
        <f t="shared" si="1"/>
        <v>735067</v>
      </c>
      <c r="F49" s="29" t="s">
        <v>43</v>
      </c>
      <c r="G49" s="34">
        <v>54400</v>
      </c>
      <c r="H49" s="30" t="s">
        <v>103</v>
      </c>
      <c r="I49" s="34">
        <v>330667</v>
      </c>
      <c r="J49" s="25" t="s">
        <v>34</v>
      </c>
      <c r="K49" s="37">
        <v>26400</v>
      </c>
      <c r="L49" s="163" t="s">
        <v>32</v>
      </c>
      <c r="M49" s="38"/>
      <c r="N49" s="23" t="s">
        <v>207</v>
      </c>
      <c r="O49" s="60">
        <v>93200</v>
      </c>
      <c r="P49" s="164" t="s">
        <v>51</v>
      </c>
      <c r="Q49" s="60"/>
      <c r="R49" s="40" t="s">
        <v>71</v>
      </c>
      <c r="S49" s="42">
        <v>32000</v>
      </c>
      <c r="T49" s="40" t="s">
        <v>208</v>
      </c>
      <c r="U49" s="42">
        <v>70400</v>
      </c>
      <c r="V49" s="32" t="s">
        <v>202</v>
      </c>
      <c r="W49" s="45">
        <v>128000</v>
      </c>
      <c r="X49" s="156" t="s">
        <v>209</v>
      </c>
      <c r="Y49" s="45"/>
      <c r="Z49" s="152" t="s">
        <v>59</v>
      </c>
      <c r="AA49" s="52"/>
      <c r="AB49" s="149" t="s">
        <v>107</v>
      </c>
      <c r="AC49" s="52"/>
    </row>
    <row r="50" spans="1:29" ht="10.55" customHeight="1" x14ac:dyDescent="0.2">
      <c r="A50" s="10">
        <v>49</v>
      </c>
      <c r="B50" s="55" t="s">
        <v>100</v>
      </c>
      <c r="C50" s="6" t="s">
        <v>101</v>
      </c>
      <c r="D50" s="16" t="s">
        <v>102</v>
      </c>
      <c r="E50" s="12">
        <f t="shared" si="1"/>
        <v>729867</v>
      </c>
      <c r="F50" s="29" t="s">
        <v>43</v>
      </c>
      <c r="G50" s="34">
        <v>54400</v>
      </c>
      <c r="H50" s="30" t="s">
        <v>103</v>
      </c>
      <c r="I50" s="34">
        <v>330667</v>
      </c>
      <c r="J50" s="25" t="s">
        <v>34</v>
      </c>
      <c r="K50" s="35">
        <v>26400</v>
      </c>
      <c r="L50" s="25" t="s">
        <v>64</v>
      </c>
      <c r="M50" s="36">
        <v>54400</v>
      </c>
      <c r="N50" s="23" t="s">
        <v>104</v>
      </c>
      <c r="O50" s="60">
        <v>24000</v>
      </c>
      <c r="P50" s="164" t="s">
        <v>48</v>
      </c>
      <c r="Q50" s="60"/>
      <c r="R50" s="158" t="s">
        <v>196</v>
      </c>
      <c r="S50" s="42"/>
      <c r="T50" s="40" t="s">
        <v>105</v>
      </c>
      <c r="U50" s="42">
        <v>240000</v>
      </c>
      <c r="V50" s="156" t="s">
        <v>72</v>
      </c>
      <c r="W50" s="44"/>
      <c r="X50" s="156" t="s">
        <v>73</v>
      </c>
      <c r="Y50" s="45"/>
      <c r="Z50" s="152" t="s">
        <v>106</v>
      </c>
      <c r="AA50" s="52"/>
      <c r="AB50" s="149" t="s">
        <v>107</v>
      </c>
      <c r="AC50" s="52"/>
    </row>
    <row r="51" spans="1:29" ht="10.55" customHeight="1" x14ac:dyDescent="0.2">
      <c r="A51" s="10">
        <v>50</v>
      </c>
      <c r="B51" s="55" t="s">
        <v>350</v>
      </c>
      <c r="C51" s="6" t="s">
        <v>352</v>
      </c>
      <c r="D51" s="16" t="s">
        <v>102</v>
      </c>
      <c r="E51" s="12">
        <f t="shared" si="1"/>
        <v>724067</v>
      </c>
      <c r="F51" s="29" t="s">
        <v>236</v>
      </c>
      <c r="G51" s="34">
        <v>176000</v>
      </c>
      <c r="H51" s="30" t="s">
        <v>103</v>
      </c>
      <c r="I51" s="34">
        <v>330667</v>
      </c>
      <c r="J51" s="25" t="s">
        <v>34</v>
      </c>
      <c r="K51" s="35">
        <v>26400</v>
      </c>
      <c r="L51" s="163" t="s">
        <v>52</v>
      </c>
      <c r="M51" s="38"/>
      <c r="N51" s="164" t="s">
        <v>50</v>
      </c>
      <c r="O51" s="60"/>
      <c r="P51" s="23" t="s">
        <v>60</v>
      </c>
      <c r="Q51" s="60">
        <v>93200</v>
      </c>
      <c r="R51" s="158" t="s">
        <v>286</v>
      </c>
      <c r="S51" s="42"/>
      <c r="T51" s="40" t="s">
        <v>353</v>
      </c>
      <c r="U51" s="42">
        <v>22800</v>
      </c>
      <c r="V51" s="156" t="s">
        <v>62</v>
      </c>
      <c r="W51" s="44"/>
      <c r="X51" s="156" t="s">
        <v>58</v>
      </c>
      <c r="Y51" s="45"/>
      <c r="Z51" s="152" t="s">
        <v>106</v>
      </c>
      <c r="AA51" s="52"/>
      <c r="AB51" s="47" t="s">
        <v>216</v>
      </c>
      <c r="AC51" s="52">
        <v>75000</v>
      </c>
    </row>
    <row r="52" spans="1:29" ht="10.55" customHeight="1" x14ac:dyDescent="0.2">
      <c r="A52" s="10">
        <v>51</v>
      </c>
      <c r="B52" s="55" t="s">
        <v>254</v>
      </c>
      <c r="C52" s="6" t="s">
        <v>255</v>
      </c>
      <c r="D52" s="16" t="s">
        <v>102</v>
      </c>
      <c r="E52" s="12">
        <f t="shared" si="1"/>
        <v>723867</v>
      </c>
      <c r="F52" s="29" t="s">
        <v>43</v>
      </c>
      <c r="G52" s="34">
        <v>54400</v>
      </c>
      <c r="H52" s="30" t="s">
        <v>103</v>
      </c>
      <c r="I52" s="34">
        <v>330667</v>
      </c>
      <c r="J52" s="25" t="s">
        <v>34</v>
      </c>
      <c r="K52" s="35">
        <v>26400</v>
      </c>
      <c r="L52" s="163" t="s">
        <v>219</v>
      </c>
      <c r="M52" s="38"/>
      <c r="N52" s="23" t="s">
        <v>237</v>
      </c>
      <c r="O52" s="60">
        <v>176000</v>
      </c>
      <c r="P52" s="23" t="s">
        <v>207</v>
      </c>
      <c r="Q52" s="60">
        <v>93200</v>
      </c>
      <c r="R52" s="40" t="s">
        <v>256</v>
      </c>
      <c r="S52" s="42">
        <v>43200</v>
      </c>
      <c r="T52" s="158" t="s">
        <v>35</v>
      </c>
      <c r="U52" s="42"/>
      <c r="V52" s="156" t="s">
        <v>209</v>
      </c>
      <c r="W52" s="45"/>
      <c r="X52" s="156" t="s">
        <v>62</v>
      </c>
      <c r="Y52" s="45"/>
      <c r="Z52" s="152" t="s">
        <v>59</v>
      </c>
      <c r="AA52" s="52"/>
      <c r="AB52" s="149" t="s">
        <v>107</v>
      </c>
      <c r="AC52" s="52"/>
    </row>
    <row r="53" spans="1:29" ht="10.55" customHeight="1" x14ac:dyDescent="0.2">
      <c r="A53" s="10">
        <v>52</v>
      </c>
      <c r="B53" s="55" t="s">
        <v>251</v>
      </c>
      <c r="C53" s="21" t="s">
        <v>252</v>
      </c>
      <c r="D53" s="16" t="s">
        <v>102</v>
      </c>
      <c r="E53" s="12">
        <f t="shared" si="1"/>
        <v>722800</v>
      </c>
      <c r="F53" s="29" t="s">
        <v>43</v>
      </c>
      <c r="G53" s="34">
        <v>54400</v>
      </c>
      <c r="H53" s="30" t="s">
        <v>236</v>
      </c>
      <c r="I53" s="34">
        <v>176000</v>
      </c>
      <c r="J53" s="25" t="s">
        <v>34</v>
      </c>
      <c r="K53" s="37">
        <v>26400</v>
      </c>
      <c r="L53" s="25" t="s">
        <v>199</v>
      </c>
      <c r="M53" s="38">
        <v>36800</v>
      </c>
      <c r="N53" s="23" t="s">
        <v>237</v>
      </c>
      <c r="O53" s="60">
        <v>176000</v>
      </c>
      <c r="P53" s="23" t="s">
        <v>60</v>
      </c>
      <c r="Q53" s="60">
        <v>93200</v>
      </c>
      <c r="R53" s="40" t="s">
        <v>71</v>
      </c>
      <c r="S53" s="42">
        <v>32000</v>
      </c>
      <c r="T53" s="158" t="s">
        <v>253</v>
      </c>
      <c r="U53" s="42"/>
      <c r="V53" s="32" t="s">
        <v>202</v>
      </c>
      <c r="W53" s="44">
        <v>128000</v>
      </c>
      <c r="X53" s="156" t="s">
        <v>209</v>
      </c>
      <c r="Y53" s="45"/>
      <c r="Z53" s="152" t="s">
        <v>225</v>
      </c>
      <c r="AA53" s="52"/>
      <c r="AB53" s="149" t="s">
        <v>107</v>
      </c>
      <c r="AC53" s="52"/>
    </row>
    <row r="54" spans="1:29" ht="10.55" customHeight="1" x14ac:dyDescent="0.2">
      <c r="A54" s="10">
        <v>53</v>
      </c>
      <c r="B54" s="55" t="s">
        <v>343</v>
      </c>
      <c r="C54" s="6" t="s">
        <v>406</v>
      </c>
      <c r="D54" s="16" t="s">
        <v>102</v>
      </c>
      <c r="E54" s="12">
        <f t="shared" si="1"/>
        <v>719067</v>
      </c>
      <c r="F54" s="29" t="s">
        <v>43</v>
      </c>
      <c r="G54" s="34">
        <v>54400</v>
      </c>
      <c r="H54" s="30" t="s">
        <v>103</v>
      </c>
      <c r="I54" s="34">
        <v>330667</v>
      </c>
      <c r="J54" s="25" t="s">
        <v>34</v>
      </c>
      <c r="K54" s="35">
        <v>26400</v>
      </c>
      <c r="L54" s="25" t="s">
        <v>64</v>
      </c>
      <c r="M54" s="37">
        <v>54400</v>
      </c>
      <c r="N54" s="164" t="s">
        <v>51</v>
      </c>
      <c r="O54" s="60"/>
      <c r="P54" s="23" t="s">
        <v>60</v>
      </c>
      <c r="Q54" s="60">
        <v>93200</v>
      </c>
      <c r="R54" s="40" t="s">
        <v>71</v>
      </c>
      <c r="S54" s="42">
        <v>32000</v>
      </c>
      <c r="T54" s="158" t="s">
        <v>213</v>
      </c>
      <c r="U54" s="42"/>
      <c r="V54" s="32" t="s">
        <v>202</v>
      </c>
      <c r="W54" s="44">
        <v>128000</v>
      </c>
      <c r="X54" s="156" t="s">
        <v>209</v>
      </c>
      <c r="Y54" s="45"/>
      <c r="Z54" s="152" t="s">
        <v>225</v>
      </c>
      <c r="AA54" s="52"/>
      <c r="AB54" s="149" t="s">
        <v>215</v>
      </c>
      <c r="AC54" s="52"/>
    </row>
    <row r="55" spans="1:29" ht="10.55" customHeight="1" x14ac:dyDescent="0.2">
      <c r="A55" s="10">
        <v>54</v>
      </c>
      <c r="B55" s="55" t="s">
        <v>250</v>
      </c>
      <c r="C55" s="6" t="s">
        <v>249</v>
      </c>
      <c r="D55" s="16" t="s">
        <v>102</v>
      </c>
      <c r="E55" s="12">
        <f t="shared" si="1"/>
        <v>692667</v>
      </c>
      <c r="F55" s="29" t="s">
        <v>43</v>
      </c>
      <c r="G55" s="34">
        <v>54400</v>
      </c>
      <c r="H55" s="30" t="s">
        <v>103</v>
      </c>
      <c r="I55" s="34">
        <v>330667</v>
      </c>
      <c r="J55" s="25" t="s">
        <v>64</v>
      </c>
      <c r="K55" s="35">
        <v>54400</v>
      </c>
      <c r="L55" s="163" t="s">
        <v>32</v>
      </c>
      <c r="M55" s="37"/>
      <c r="N55" s="23" t="s">
        <v>57</v>
      </c>
      <c r="O55" s="60">
        <v>93200</v>
      </c>
      <c r="P55" s="164" t="s">
        <v>51</v>
      </c>
      <c r="Q55" s="60"/>
      <c r="R55" s="40" t="s">
        <v>71</v>
      </c>
      <c r="S55" s="42">
        <v>32000</v>
      </c>
      <c r="T55" s="158" t="s">
        <v>35</v>
      </c>
      <c r="U55" s="42"/>
      <c r="V55" s="32" t="s">
        <v>202</v>
      </c>
      <c r="W55" s="44">
        <v>128000</v>
      </c>
      <c r="X55" s="156" t="s">
        <v>209</v>
      </c>
      <c r="Y55" s="45"/>
      <c r="Z55" s="152" t="s">
        <v>215</v>
      </c>
      <c r="AA55" s="52"/>
      <c r="AB55" s="149" t="s">
        <v>107</v>
      </c>
      <c r="AC55" s="52"/>
    </row>
    <row r="56" spans="1:29" ht="10.55" customHeight="1" x14ac:dyDescent="0.2">
      <c r="A56" s="10">
        <v>55</v>
      </c>
      <c r="B56" s="55" t="s">
        <v>383</v>
      </c>
      <c r="C56" s="6" t="s">
        <v>382</v>
      </c>
      <c r="D56" s="16" t="s">
        <v>102</v>
      </c>
      <c r="E56" s="12">
        <f t="shared" si="1"/>
        <v>687067</v>
      </c>
      <c r="F56" s="29" t="s">
        <v>229</v>
      </c>
      <c r="G56" s="34">
        <v>330667</v>
      </c>
      <c r="H56" s="162" t="s">
        <v>33</v>
      </c>
      <c r="I56" s="34"/>
      <c r="J56" s="25" t="s">
        <v>34</v>
      </c>
      <c r="K56" s="35">
        <v>26400</v>
      </c>
      <c r="L56" s="25" t="s">
        <v>64</v>
      </c>
      <c r="M56" s="38">
        <v>54400</v>
      </c>
      <c r="N56" s="23" t="s">
        <v>207</v>
      </c>
      <c r="O56" s="60">
        <v>93200</v>
      </c>
      <c r="P56" s="23" t="s">
        <v>384</v>
      </c>
      <c r="Q56" s="60">
        <v>54400</v>
      </c>
      <c r="R56" s="158" t="s">
        <v>278</v>
      </c>
      <c r="S56" s="42"/>
      <c r="T56" s="158" t="s">
        <v>213</v>
      </c>
      <c r="U56" s="42"/>
      <c r="V56" s="32" t="s">
        <v>202</v>
      </c>
      <c r="W56" s="45">
        <v>128000</v>
      </c>
      <c r="X56" s="156" t="s">
        <v>209</v>
      </c>
      <c r="Y56" s="45"/>
      <c r="Z56" s="152" t="s">
        <v>106</v>
      </c>
      <c r="AA56" s="52"/>
      <c r="AB56" s="149" t="s">
        <v>107</v>
      </c>
      <c r="AC56" s="52"/>
    </row>
    <row r="57" spans="1:29" ht="10.55" customHeight="1" x14ac:dyDescent="0.2">
      <c r="A57" s="10">
        <v>56</v>
      </c>
      <c r="B57" s="55" t="s">
        <v>217</v>
      </c>
      <c r="C57" s="21" t="s">
        <v>218</v>
      </c>
      <c r="D57" s="16" t="s">
        <v>102</v>
      </c>
      <c r="E57" s="12">
        <f t="shared" si="1"/>
        <v>682200</v>
      </c>
      <c r="F57" s="29" t="s">
        <v>206</v>
      </c>
      <c r="G57" s="34">
        <v>36800</v>
      </c>
      <c r="H57" s="30" t="s">
        <v>54</v>
      </c>
      <c r="I57" s="34">
        <v>36800</v>
      </c>
      <c r="J57" s="25" t="s">
        <v>34</v>
      </c>
      <c r="K57" s="35">
        <v>26400</v>
      </c>
      <c r="L57" s="25" t="s">
        <v>199</v>
      </c>
      <c r="M57" s="37">
        <v>36800</v>
      </c>
      <c r="N57" s="164" t="s">
        <v>51</v>
      </c>
      <c r="O57" s="60"/>
      <c r="P57" s="23" t="s">
        <v>220</v>
      </c>
      <c r="Q57" s="60">
        <v>240000</v>
      </c>
      <c r="R57" s="40" t="s">
        <v>71</v>
      </c>
      <c r="S57" s="42">
        <v>32000</v>
      </c>
      <c r="T57" s="40" t="s">
        <v>208</v>
      </c>
      <c r="U57" s="42">
        <v>70400</v>
      </c>
      <c r="V57" s="32" t="s">
        <v>202</v>
      </c>
      <c r="W57" s="44">
        <v>128000</v>
      </c>
      <c r="X57" s="156" t="s">
        <v>209</v>
      </c>
      <c r="Y57" s="45"/>
      <c r="Z57" s="152" t="s">
        <v>215</v>
      </c>
      <c r="AA57" s="52"/>
      <c r="AB57" s="47" t="s">
        <v>216</v>
      </c>
      <c r="AC57" s="52">
        <v>75000</v>
      </c>
    </row>
    <row r="58" spans="1:29" ht="10.55" customHeight="1" x14ac:dyDescent="0.2">
      <c r="A58" s="10">
        <v>57</v>
      </c>
      <c r="B58" s="55" t="s">
        <v>445</v>
      </c>
      <c r="C58" s="6" t="s">
        <v>446</v>
      </c>
      <c r="D58" s="16" t="s">
        <v>102</v>
      </c>
      <c r="E58" s="12">
        <f t="shared" si="1"/>
        <v>675267</v>
      </c>
      <c r="F58" s="29" t="s">
        <v>43</v>
      </c>
      <c r="G58" s="34">
        <v>54400</v>
      </c>
      <c r="H58" s="30" t="s">
        <v>103</v>
      </c>
      <c r="I58" s="34">
        <v>330667</v>
      </c>
      <c r="J58" s="25" t="s">
        <v>34</v>
      </c>
      <c r="K58" s="35">
        <v>26400</v>
      </c>
      <c r="L58" s="163" t="s">
        <v>32</v>
      </c>
      <c r="M58" s="38"/>
      <c r="N58" s="23" t="s">
        <v>104</v>
      </c>
      <c r="O58" s="60">
        <v>24000</v>
      </c>
      <c r="P58" s="23" t="s">
        <v>212</v>
      </c>
      <c r="Q58" s="60">
        <v>36800</v>
      </c>
      <c r="R58" s="158" t="s">
        <v>196</v>
      </c>
      <c r="S58" s="42"/>
      <c r="T58" s="158" t="s">
        <v>447</v>
      </c>
      <c r="U58" s="42"/>
      <c r="V58" s="32" t="s">
        <v>202</v>
      </c>
      <c r="W58" s="44">
        <v>128000</v>
      </c>
      <c r="X58" s="156" t="s">
        <v>62</v>
      </c>
      <c r="Y58" s="45"/>
      <c r="Z58" s="152" t="s">
        <v>447</v>
      </c>
      <c r="AA58" s="52"/>
      <c r="AB58" s="47" t="s">
        <v>216</v>
      </c>
      <c r="AC58" s="52">
        <v>75000</v>
      </c>
    </row>
    <row r="59" spans="1:29" ht="10.55" customHeight="1" x14ac:dyDescent="0.2">
      <c r="A59" s="10">
        <v>58</v>
      </c>
      <c r="B59" s="55" t="s">
        <v>247</v>
      </c>
      <c r="C59" s="21" t="s">
        <v>246</v>
      </c>
      <c r="D59" s="16" t="s">
        <v>102</v>
      </c>
      <c r="E59" s="12">
        <f t="shared" si="1"/>
        <v>674667</v>
      </c>
      <c r="F59" s="29" t="s">
        <v>43</v>
      </c>
      <c r="G59" s="34">
        <v>54400</v>
      </c>
      <c r="H59" s="30" t="s">
        <v>103</v>
      </c>
      <c r="I59" s="33">
        <v>330667</v>
      </c>
      <c r="J59" s="163" t="s">
        <v>219</v>
      </c>
      <c r="K59" s="35"/>
      <c r="L59" s="163" t="s">
        <v>32</v>
      </c>
      <c r="M59" s="38"/>
      <c r="N59" s="23" t="s">
        <v>212</v>
      </c>
      <c r="O59" s="60">
        <v>36800</v>
      </c>
      <c r="P59" s="164" t="s">
        <v>51</v>
      </c>
      <c r="Q59" s="60"/>
      <c r="R59" s="40" t="s">
        <v>248</v>
      </c>
      <c r="S59" s="42">
        <v>54400</v>
      </c>
      <c r="T59" s="40" t="s">
        <v>208</v>
      </c>
      <c r="U59" s="42">
        <v>70400</v>
      </c>
      <c r="V59" s="32" t="s">
        <v>202</v>
      </c>
      <c r="W59" s="44">
        <v>128000</v>
      </c>
      <c r="X59" s="156" t="s">
        <v>209</v>
      </c>
      <c r="Y59" s="45"/>
      <c r="Z59" s="152" t="s">
        <v>59</v>
      </c>
      <c r="AA59" s="52"/>
      <c r="AB59" s="149" t="s">
        <v>107</v>
      </c>
      <c r="AC59" s="52"/>
    </row>
    <row r="60" spans="1:29" ht="10.55" customHeight="1" x14ac:dyDescent="0.2">
      <c r="A60" s="10">
        <v>59</v>
      </c>
      <c r="B60" s="55" t="s">
        <v>257</v>
      </c>
      <c r="C60" s="21" t="s">
        <v>258</v>
      </c>
      <c r="D60" s="16" t="s">
        <v>102</v>
      </c>
      <c r="E60" s="12">
        <f t="shared" si="1"/>
        <v>672600</v>
      </c>
      <c r="F60" s="29" t="s">
        <v>43</v>
      </c>
      <c r="G60" s="34">
        <v>54400</v>
      </c>
      <c r="H60" s="162" t="s">
        <v>33</v>
      </c>
      <c r="I60" s="33"/>
      <c r="J60" s="25" t="s">
        <v>34</v>
      </c>
      <c r="K60" s="37">
        <v>26400</v>
      </c>
      <c r="L60" s="25" t="s">
        <v>64</v>
      </c>
      <c r="M60" s="38">
        <v>54400</v>
      </c>
      <c r="N60" s="23" t="s">
        <v>104</v>
      </c>
      <c r="O60" s="60">
        <v>24000</v>
      </c>
      <c r="P60" s="164" t="s">
        <v>51</v>
      </c>
      <c r="Q60" s="60"/>
      <c r="R60" s="40" t="s">
        <v>208</v>
      </c>
      <c r="S60" s="42">
        <v>70400</v>
      </c>
      <c r="T60" s="40" t="s">
        <v>105</v>
      </c>
      <c r="U60" s="42">
        <v>240000</v>
      </c>
      <c r="V60" s="32" t="s">
        <v>202</v>
      </c>
      <c r="W60" s="44">
        <v>128000</v>
      </c>
      <c r="X60" s="156" t="s">
        <v>209</v>
      </c>
      <c r="Y60" s="45"/>
      <c r="Z60" s="152" t="s">
        <v>59</v>
      </c>
      <c r="AA60" s="52"/>
      <c r="AB60" s="47" t="s">
        <v>216</v>
      </c>
      <c r="AC60" s="52">
        <v>75000</v>
      </c>
    </row>
    <row r="61" spans="1:29" ht="10.55" customHeight="1" x14ac:dyDescent="0.2">
      <c r="A61" s="10">
        <v>60</v>
      </c>
      <c r="B61" s="55" t="s">
        <v>267</v>
      </c>
      <c r="C61" s="6" t="s">
        <v>265</v>
      </c>
      <c r="D61" s="16" t="s">
        <v>102</v>
      </c>
      <c r="E61" s="12">
        <f t="shared" si="1"/>
        <v>669067</v>
      </c>
      <c r="F61" s="29" t="s">
        <v>43</v>
      </c>
      <c r="G61" s="34">
        <v>54400</v>
      </c>
      <c r="H61" s="30" t="s">
        <v>103</v>
      </c>
      <c r="I61" s="34">
        <v>330667</v>
      </c>
      <c r="J61" s="25" t="s">
        <v>34</v>
      </c>
      <c r="K61" s="37">
        <v>26400</v>
      </c>
      <c r="L61" s="25" t="s">
        <v>64</v>
      </c>
      <c r="M61" s="38">
        <v>54400</v>
      </c>
      <c r="N61" s="23" t="s">
        <v>66</v>
      </c>
      <c r="O61" s="60">
        <v>43200</v>
      </c>
      <c r="P61" s="164" t="s">
        <v>51</v>
      </c>
      <c r="Q61" s="59"/>
      <c r="R61" s="40" t="s">
        <v>71</v>
      </c>
      <c r="S61" s="42">
        <v>32000</v>
      </c>
      <c r="T61" s="158" t="s">
        <v>35</v>
      </c>
      <c r="U61" s="42"/>
      <c r="V61" s="32" t="s">
        <v>202</v>
      </c>
      <c r="W61" s="44">
        <v>128000</v>
      </c>
      <c r="X61" s="156" t="s">
        <v>209</v>
      </c>
      <c r="Y61" s="45"/>
      <c r="Z61" s="152" t="s">
        <v>59</v>
      </c>
      <c r="AA61" s="52"/>
      <c r="AB61" s="149" t="s">
        <v>107</v>
      </c>
      <c r="AC61" s="52"/>
    </row>
    <row r="62" spans="1:29" ht="10.55" customHeight="1" x14ac:dyDescent="0.2">
      <c r="A62" s="10">
        <v>61</v>
      </c>
      <c r="B62" s="55" t="s">
        <v>337</v>
      </c>
      <c r="C62" s="6" t="s">
        <v>308</v>
      </c>
      <c r="D62" s="16" t="s">
        <v>303</v>
      </c>
      <c r="E62" s="12">
        <f t="shared" si="1"/>
        <v>655200</v>
      </c>
      <c r="F62" s="29" t="s">
        <v>432</v>
      </c>
      <c r="G62" s="34">
        <v>70400</v>
      </c>
      <c r="H62" s="30" t="s">
        <v>236</v>
      </c>
      <c r="I62" s="34">
        <v>176000</v>
      </c>
      <c r="J62" s="25" t="s">
        <v>34</v>
      </c>
      <c r="K62" s="35">
        <v>26400</v>
      </c>
      <c r="L62" s="25" t="s">
        <v>433</v>
      </c>
      <c r="M62" s="38">
        <v>54400</v>
      </c>
      <c r="N62" s="23" t="s">
        <v>104</v>
      </c>
      <c r="O62" s="60">
        <v>24000</v>
      </c>
      <c r="P62" s="23" t="s">
        <v>237</v>
      </c>
      <c r="Q62" s="60">
        <v>176000</v>
      </c>
      <c r="R62" s="158" t="s">
        <v>335</v>
      </c>
      <c r="S62" s="42"/>
      <c r="T62" s="158" t="s">
        <v>286</v>
      </c>
      <c r="U62" s="42"/>
      <c r="V62" s="32" t="s">
        <v>202</v>
      </c>
      <c r="W62" s="44">
        <v>128000</v>
      </c>
      <c r="X62" s="156" t="s">
        <v>58</v>
      </c>
      <c r="Y62" s="45"/>
      <c r="Z62" s="152" t="s">
        <v>215</v>
      </c>
      <c r="AA62" s="52"/>
      <c r="AB62" s="149" t="s">
        <v>107</v>
      </c>
      <c r="AC62" s="52"/>
    </row>
    <row r="63" spans="1:29" ht="10.55" customHeight="1" x14ac:dyDescent="0.2">
      <c r="A63" s="10">
        <v>62</v>
      </c>
      <c r="B63" s="55" t="s">
        <v>356</v>
      </c>
      <c r="C63" s="6" t="s">
        <v>357</v>
      </c>
      <c r="D63" s="16" t="s">
        <v>102</v>
      </c>
      <c r="E63" s="12">
        <f t="shared" si="1"/>
        <v>642667</v>
      </c>
      <c r="F63" s="29" t="s">
        <v>43</v>
      </c>
      <c r="G63" s="34">
        <v>54400</v>
      </c>
      <c r="H63" s="30" t="s">
        <v>103</v>
      </c>
      <c r="I63" s="33">
        <v>330667</v>
      </c>
      <c r="J63" s="163" t="s">
        <v>32</v>
      </c>
      <c r="K63" s="37"/>
      <c r="L63" s="25" t="s">
        <v>199</v>
      </c>
      <c r="M63" s="37">
        <v>36800</v>
      </c>
      <c r="N63" s="23" t="s">
        <v>104</v>
      </c>
      <c r="O63" s="60">
        <v>24000</v>
      </c>
      <c r="P63" s="23" t="s">
        <v>212</v>
      </c>
      <c r="Q63" s="60">
        <v>36800</v>
      </c>
      <c r="R63" s="40" t="s">
        <v>71</v>
      </c>
      <c r="S63" s="42">
        <v>32000</v>
      </c>
      <c r="T63" s="158" t="s">
        <v>240</v>
      </c>
      <c r="U63" s="42"/>
      <c r="V63" s="32" t="s">
        <v>202</v>
      </c>
      <c r="W63" s="44">
        <v>128000</v>
      </c>
      <c r="X63" s="156" t="s">
        <v>209</v>
      </c>
      <c r="Y63" s="45"/>
      <c r="Z63" s="152" t="s">
        <v>225</v>
      </c>
      <c r="AA63" s="52"/>
      <c r="AB63" s="149" t="s">
        <v>59</v>
      </c>
      <c r="AC63" s="52"/>
    </row>
    <row r="64" spans="1:29" ht="10.55" customHeight="1" x14ac:dyDescent="0.2">
      <c r="A64" s="10">
        <v>63</v>
      </c>
      <c r="B64" s="55" t="s">
        <v>424</v>
      </c>
      <c r="C64" s="6" t="s">
        <v>425</v>
      </c>
      <c r="D64" s="16" t="s">
        <v>102</v>
      </c>
      <c r="E64" s="12">
        <f t="shared" si="1"/>
        <v>630400</v>
      </c>
      <c r="F64" s="29" t="s">
        <v>291</v>
      </c>
      <c r="G64" s="34">
        <v>128000</v>
      </c>
      <c r="H64" s="30" t="s">
        <v>236</v>
      </c>
      <c r="I64" s="34">
        <v>176000</v>
      </c>
      <c r="J64" s="163" t="s">
        <v>32</v>
      </c>
      <c r="K64" s="35"/>
      <c r="L64" s="25" t="s">
        <v>299</v>
      </c>
      <c r="M64" s="38">
        <v>54400</v>
      </c>
      <c r="N64" s="164" t="s">
        <v>51</v>
      </c>
      <c r="O64" s="60"/>
      <c r="P64" s="23" t="s">
        <v>220</v>
      </c>
      <c r="Q64" s="60">
        <v>240000</v>
      </c>
      <c r="R64" s="40" t="s">
        <v>71</v>
      </c>
      <c r="S64" s="42">
        <v>32000</v>
      </c>
      <c r="T64" s="158" t="s">
        <v>253</v>
      </c>
      <c r="U64" s="42"/>
      <c r="V64" s="156" t="s">
        <v>73</v>
      </c>
      <c r="W64" s="44"/>
      <c r="X64" s="156" t="s">
        <v>62</v>
      </c>
      <c r="Y64" s="45"/>
      <c r="Z64" s="152" t="s">
        <v>225</v>
      </c>
      <c r="AA64" s="52"/>
      <c r="AB64" s="149" t="s">
        <v>106</v>
      </c>
      <c r="AC64" s="52"/>
    </row>
    <row r="65" spans="1:29" ht="10.55" customHeight="1" x14ac:dyDescent="0.2">
      <c r="A65" s="10">
        <v>64</v>
      </c>
      <c r="B65" s="55" t="s">
        <v>198</v>
      </c>
      <c r="C65" s="21" t="s">
        <v>197</v>
      </c>
      <c r="D65" s="16" t="s">
        <v>102</v>
      </c>
      <c r="E65" s="12">
        <f t="shared" si="1"/>
        <v>626667</v>
      </c>
      <c r="F65" s="161" t="s">
        <v>56</v>
      </c>
      <c r="G65" s="33"/>
      <c r="H65" s="30" t="s">
        <v>103</v>
      </c>
      <c r="I65" s="34">
        <v>330667</v>
      </c>
      <c r="J65" s="163" t="s">
        <v>32</v>
      </c>
      <c r="K65" s="37"/>
      <c r="L65" s="25" t="s">
        <v>199</v>
      </c>
      <c r="M65" s="38">
        <v>36800</v>
      </c>
      <c r="N65" s="164" t="s">
        <v>200</v>
      </c>
      <c r="O65" s="60"/>
      <c r="P65" s="23" t="s">
        <v>65</v>
      </c>
      <c r="Q65" s="60">
        <v>70400</v>
      </c>
      <c r="R65" s="40" t="s">
        <v>71</v>
      </c>
      <c r="S65" s="42">
        <v>32000</v>
      </c>
      <c r="T65" s="40" t="s">
        <v>201</v>
      </c>
      <c r="U65" s="42">
        <v>28800</v>
      </c>
      <c r="V65" s="32" t="s">
        <v>202</v>
      </c>
      <c r="W65" s="45">
        <v>128000</v>
      </c>
      <c r="X65" s="156" t="s">
        <v>203</v>
      </c>
      <c r="Y65" s="45"/>
      <c r="Z65" s="152" t="s">
        <v>59</v>
      </c>
      <c r="AA65" s="52"/>
      <c r="AB65" s="149" t="s">
        <v>215</v>
      </c>
      <c r="AC65" s="52"/>
    </row>
    <row r="66" spans="1:29" ht="10.55" customHeight="1" x14ac:dyDescent="0.2">
      <c r="A66" s="10">
        <v>65</v>
      </c>
      <c r="B66" s="55" t="s">
        <v>405</v>
      </c>
      <c r="C66" s="21" t="s">
        <v>426</v>
      </c>
      <c r="D66" s="16" t="s">
        <v>102</v>
      </c>
      <c r="E66" s="12">
        <f t="shared" ref="E66:E101" si="2">SUM(G66)+I66+K66+M66+O66+Q66+S66+U66+W66+Y66+AA66+AC66</f>
        <v>618400</v>
      </c>
      <c r="F66" s="29" t="s">
        <v>43</v>
      </c>
      <c r="G66" s="34">
        <v>54400</v>
      </c>
      <c r="H66" s="162" t="s">
        <v>33</v>
      </c>
      <c r="I66" s="33"/>
      <c r="J66" s="25" t="s">
        <v>34</v>
      </c>
      <c r="K66" s="37">
        <v>26400</v>
      </c>
      <c r="L66" s="25" t="s">
        <v>199</v>
      </c>
      <c r="M66" s="38">
        <v>36800</v>
      </c>
      <c r="N66" s="23" t="s">
        <v>237</v>
      </c>
      <c r="O66" s="60">
        <v>176000</v>
      </c>
      <c r="P66" s="23" t="s">
        <v>212</v>
      </c>
      <c r="Q66" s="60">
        <v>36800</v>
      </c>
      <c r="R66" s="40" t="s">
        <v>71</v>
      </c>
      <c r="S66" s="42">
        <v>32000</v>
      </c>
      <c r="T66" s="40" t="s">
        <v>233</v>
      </c>
      <c r="U66" s="42">
        <v>128000</v>
      </c>
      <c r="V66" s="32" t="s">
        <v>202</v>
      </c>
      <c r="W66" s="44">
        <v>128000</v>
      </c>
      <c r="X66" s="156" t="s">
        <v>62</v>
      </c>
      <c r="Y66" s="45"/>
      <c r="Z66" s="152" t="s">
        <v>225</v>
      </c>
      <c r="AA66" s="52"/>
      <c r="AB66" s="149" t="s">
        <v>107</v>
      </c>
      <c r="AC66" s="52"/>
    </row>
    <row r="67" spans="1:29" ht="10.55" customHeight="1" x14ac:dyDescent="0.2">
      <c r="A67" s="10">
        <v>66</v>
      </c>
      <c r="B67" s="55" t="s">
        <v>408</v>
      </c>
      <c r="C67" s="6" t="s">
        <v>407</v>
      </c>
      <c r="D67" s="16" t="s">
        <v>102</v>
      </c>
      <c r="E67" s="12">
        <f t="shared" si="2"/>
        <v>614667</v>
      </c>
      <c r="F67" s="29" t="s">
        <v>43</v>
      </c>
      <c r="G67" s="34">
        <v>54400</v>
      </c>
      <c r="H67" s="30" t="s">
        <v>103</v>
      </c>
      <c r="I67" s="34">
        <v>330667</v>
      </c>
      <c r="J67" s="25" t="s">
        <v>34</v>
      </c>
      <c r="K67" s="37">
        <v>26400</v>
      </c>
      <c r="L67" s="163" t="s">
        <v>32</v>
      </c>
      <c r="M67" s="36"/>
      <c r="N67" s="164" t="s">
        <v>51</v>
      </c>
      <c r="O67" s="60"/>
      <c r="P67" s="23" t="s">
        <v>66</v>
      </c>
      <c r="Q67" s="60">
        <v>43200</v>
      </c>
      <c r="R67" s="40" t="s">
        <v>71</v>
      </c>
      <c r="S67" s="42">
        <v>32000</v>
      </c>
      <c r="T67" s="158" t="s">
        <v>35</v>
      </c>
      <c r="U67" s="42"/>
      <c r="V67" s="32" t="s">
        <v>202</v>
      </c>
      <c r="W67" s="45">
        <v>128000</v>
      </c>
      <c r="X67" s="156" t="s">
        <v>62</v>
      </c>
      <c r="Y67" s="45"/>
      <c r="Z67" s="152" t="s">
        <v>215</v>
      </c>
      <c r="AA67" s="52"/>
      <c r="AB67" s="149" t="s">
        <v>59</v>
      </c>
      <c r="AC67" s="52"/>
    </row>
    <row r="68" spans="1:29" ht="10.55" customHeight="1" x14ac:dyDescent="0.2">
      <c r="A68" s="10">
        <v>67</v>
      </c>
      <c r="B68" s="55" t="s">
        <v>386</v>
      </c>
      <c r="C68" s="6" t="s">
        <v>385</v>
      </c>
      <c r="D68" s="16" t="s">
        <v>102</v>
      </c>
      <c r="E68" s="12">
        <f t="shared" si="2"/>
        <v>609867</v>
      </c>
      <c r="F68" s="29" t="s">
        <v>43</v>
      </c>
      <c r="G68" s="34">
        <v>54400</v>
      </c>
      <c r="H68" s="30" t="s">
        <v>103</v>
      </c>
      <c r="I68" s="34">
        <v>330667</v>
      </c>
      <c r="J68" s="25" t="s">
        <v>34</v>
      </c>
      <c r="K68" s="37">
        <v>26400</v>
      </c>
      <c r="L68" s="163" t="s">
        <v>32</v>
      </c>
      <c r="M68" s="38"/>
      <c r="N68" s="164" t="s">
        <v>51</v>
      </c>
      <c r="O68" s="60"/>
      <c r="P68" s="23" t="s">
        <v>65</v>
      </c>
      <c r="Q68" s="60">
        <v>70400</v>
      </c>
      <c r="R68" s="158" t="s">
        <v>213</v>
      </c>
      <c r="S68" s="42"/>
      <c r="T68" s="158" t="s">
        <v>240</v>
      </c>
      <c r="U68" s="42"/>
      <c r="V68" s="32" t="s">
        <v>202</v>
      </c>
      <c r="W68" s="44">
        <v>128000</v>
      </c>
      <c r="X68" s="156" t="s">
        <v>62</v>
      </c>
      <c r="Y68" s="45"/>
      <c r="Z68" s="152" t="s">
        <v>225</v>
      </c>
      <c r="AA68" s="52"/>
      <c r="AB68" s="149" t="s">
        <v>107</v>
      </c>
      <c r="AC68" s="52"/>
    </row>
    <row r="69" spans="1:29" ht="10.55" customHeight="1" x14ac:dyDescent="0.2">
      <c r="A69" s="10">
        <v>68</v>
      </c>
      <c r="B69" s="55" t="s">
        <v>231</v>
      </c>
      <c r="C69" s="21" t="s">
        <v>232</v>
      </c>
      <c r="D69" s="16" t="s">
        <v>102</v>
      </c>
      <c r="E69" s="12">
        <f t="shared" si="2"/>
        <v>608267</v>
      </c>
      <c r="F69" s="29" t="s">
        <v>43</v>
      </c>
      <c r="G69" s="34">
        <v>54400</v>
      </c>
      <c r="H69" s="30" t="s">
        <v>103</v>
      </c>
      <c r="I69" s="34">
        <v>330667</v>
      </c>
      <c r="J69" s="25" t="s">
        <v>34</v>
      </c>
      <c r="K69" s="35">
        <v>26400</v>
      </c>
      <c r="L69" s="163" t="s">
        <v>32</v>
      </c>
      <c r="M69" s="38"/>
      <c r="N69" s="23" t="s">
        <v>212</v>
      </c>
      <c r="O69" s="59">
        <v>36800</v>
      </c>
      <c r="P69" s="164" t="s">
        <v>51</v>
      </c>
      <c r="Q69" s="60"/>
      <c r="R69" s="40" t="s">
        <v>71</v>
      </c>
      <c r="S69" s="42">
        <v>32000</v>
      </c>
      <c r="T69" s="40" t="s">
        <v>233</v>
      </c>
      <c r="U69" s="42">
        <v>128000</v>
      </c>
      <c r="V69" s="156" t="s">
        <v>73</v>
      </c>
      <c r="W69" s="44"/>
      <c r="X69" s="156" t="s">
        <v>62</v>
      </c>
      <c r="Y69" s="45"/>
      <c r="Z69" s="152" t="s">
        <v>106</v>
      </c>
      <c r="AA69" s="52"/>
      <c r="AB69" s="149" t="s">
        <v>107</v>
      </c>
      <c r="AC69" s="52"/>
    </row>
    <row r="70" spans="1:29" ht="10.55" customHeight="1" x14ac:dyDescent="0.2">
      <c r="A70" s="10">
        <v>69</v>
      </c>
      <c r="B70" s="55" t="s">
        <v>305</v>
      </c>
      <c r="C70" s="21" t="s">
        <v>304</v>
      </c>
      <c r="D70" s="16" t="s">
        <v>102</v>
      </c>
      <c r="E70" s="12">
        <f t="shared" si="2"/>
        <v>606987</v>
      </c>
      <c r="F70" s="29" t="s">
        <v>229</v>
      </c>
      <c r="G70" s="34">
        <v>330667</v>
      </c>
      <c r="H70" s="30" t="s">
        <v>236</v>
      </c>
      <c r="I70" s="33">
        <v>176000</v>
      </c>
      <c r="J70" s="25" t="s">
        <v>64</v>
      </c>
      <c r="K70" s="35">
        <v>54400</v>
      </c>
      <c r="L70" s="163" t="s">
        <v>32</v>
      </c>
      <c r="M70" s="37"/>
      <c r="N70" s="23" t="s">
        <v>104</v>
      </c>
      <c r="O70" s="59">
        <v>24000</v>
      </c>
      <c r="P70" s="23" t="s">
        <v>307</v>
      </c>
      <c r="Q70" s="60">
        <v>21920</v>
      </c>
      <c r="R70" s="158" t="s">
        <v>253</v>
      </c>
      <c r="S70" s="42"/>
      <c r="T70" s="158" t="s">
        <v>240</v>
      </c>
      <c r="U70" s="42"/>
      <c r="V70" s="156" t="s">
        <v>62</v>
      </c>
      <c r="W70" s="44"/>
      <c r="X70" s="156" t="s">
        <v>209</v>
      </c>
      <c r="Y70" s="45"/>
      <c r="Z70" s="152" t="s">
        <v>225</v>
      </c>
      <c r="AA70" s="52"/>
      <c r="AB70" s="149" t="s">
        <v>215</v>
      </c>
      <c r="AC70" s="52"/>
    </row>
    <row r="71" spans="1:29" ht="10.55" customHeight="1" x14ac:dyDescent="0.2">
      <c r="A71" s="10">
        <v>70</v>
      </c>
      <c r="B71" s="55" t="s">
        <v>421</v>
      </c>
      <c r="C71" s="6" t="s">
        <v>420</v>
      </c>
      <c r="D71" s="16" t="s">
        <v>102</v>
      </c>
      <c r="E71" s="12">
        <f t="shared" si="2"/>
        <v>593400</v>
      </c>
      <c r="F71" s="29" t="s">
        <v>43</v>
      </c>
      <c r="G71" s="34">
        <v>54400</v>
      </c>
      <c r="H71" s="30" t="s">
        <v>236</v>
      </c>
      <c r="I71" s="34">
        <v>176000</v>
      </c>
      <c r="J71" s="25" t="s">
        <v>199</v>
      </c>
      <c r="K71" s="35">
        <v>36800</v>
      </c>
      <c r="L71" s="25" t="s">
        <v>299</v>
      </c>
      <c r="M71" s="38">
        <v>54400</v>
      </c>
      <c r="N71" s="164" t="s">
        <v>200</v>
      </c>
      <c r="O71" s="60"/>
      <c r="P71" s="23" t="s">
        <v>212</v>
      </c>
      <c r="Q71" s="60">
        <v>36800</v>
      </c>
      <c r="R71" s="40" t="s">
        <v>71</v>
      </c>
      <c r="S71" s="42">
        <v>32000</v>
      </c>
      <c r="T71" s="158" t="s">
        <v>253</v>
      </c>
      <c r="U71" s="42"/>
      <c r="V71" s="32" t="s">
        <v>202</v>
      </c>
      <c r="W71" s="44">
        <v>128000</v>
      </c>
      <c r="X71" s="156" t="s">
        <v>72</v>
      </c>
      <c r="Y71" s="45"/>
      <c r="Z71" s="152" t="s">
        <v>106</v>
      </c>
      <c r="AA71" s="52"/>
      <c r="AB71" s="47" t="s">
        <v>216</v>
      </c>
      <c r="AC71" s="52">
        <v>75000</v>
      </c>
    </row>
    <row r="72" spans="1:29" ht="10.55" customHeight="1" x14ac:dyDescent="0.2">
      <c r="A72" s="10">
        <v>71</v>
      </c>
      <c r="B72" s="55" t="s">
        <v>398</v>
      </c>
      <c r="C72" s="6" t="s">
        <v>397</v>
      </c>
      <c r="D72" s="16" t="s">
        <v>102</v>
      </c>
      <c r="E72" s="12">
        <f t="shared" si="2"/>
        <v>593067</v>
      </c>
      <c r="F72" s="29" t="s">
        <v>291</v>
      </c>
      <c r="G72" s="34">
        <v>128000</v>
      </c>
      <c r="H72" s="30" t="s">
        <v>54</v>
      </c>
      <c r="I72" s="33">
        <v>36800</v>
      </c>
      <c r="J72" s="25" t="s">
        <v>242</v>
      </c>
      <c r="K72" s="35">
        <v>330667</v>
      </c>
      <c r="L72" s="25" t="s">
        <v>299</v>
      </c>
      <c r="M72" s="36">
        <v>54400</v>
      </c>
      <c r="N72" s="23" t="s">
        <v>66</v>
      </c>
      <c r="O72" s="60">
        <v>43200</v>
      </c>
      <c r="P72" s="164" t="s">
        <v>51</v>
      </c>
      <c r="Q72" s="60"/>
      <c r="R72" s="158" t="s">
        <v>224</v>
      </c>
      <c r="S72" s="42"/>
      <c r="T72" s="158" t="s">
        <v>35</v>
      </c>
      <c r="U72" s="42"/>
      <c r="V72" s="156" t="s">
        <v>209</v>
      </c>
      <c r="W72" s="44"/>
      <c r="X72" s="156" t="s">
        <v>62</v>
      </c>
      <c r="Y72" s="45"/>
      <c r="Z72" s="152" t="s">
        <v>215</v>
      </c>
      <c r="AA72" s="52"/>
      <c r="AB72" s="149" t="s">
        <v>59</v>
      </c>
      <c r="AC72" s="52"/>
    </row>
    <row r="73" spans="1:29" ht="10.55" customHeight="1" x14ac:dyDescent="0.2">
      <c r="A73" s="10">
        <v>72</v>
      </c>
      <c r="B73" s="55" t="s">
        <v>234</v>
      </c>
      <c r="C73" s="21" t="s">
        <v>235</v>
      </c>
      <c r="D73" s="16" t="s">
        <v>102</v>
      </c>
      <c r="E73" s="12">
        <f t="shared" si="2"/>
        <v>592800</v>
      </c>
      <c r="F73" s="29" t="s">
        <v>43</v>
      </c>
      <c r="G73" s="34">
        <v>54400</v>
      </c>
      <c r="H73" s="30" t="s">
        <v>236</v>
      </c>
      <c r="I73" s="34">
        <v>176000</v>
      </c>
      <c r="J73" s="25" t="s">
        <v>34</v>
      </c>
      <c r="K73" s="35">
        <v>26400</v>
      </c>
      <c r="L73" s="163" t="s">
        <v>32</v>
      </c>
      <c r="M73" s="36"/>
      <c r="N73" s="23" t="s">
        <v>237</v>
      </c>
      <c r="O73" s="60">
        <v>176000</v>
      </c>
      <c r="P73" s="164" t="s">
        <v>51</v>
      </c>
      <c r="Q73" s="60"/>
      <c r="R73" s="40" t="s">
        <v>71</v>
      </c>
      <c r="S73" s="42">
        <v>32000</v>
      </c>
      <c r="T73" s="158" t="s">
        <v>35</v>
      </c>
      <c r="U73" s="42"/>
      <c r="V73" s="32" t="s">
        <v>202</v>
      </c>
      <c r="W73" s="44">
        <v>128000</v>
      </c>
      <c r="X73" s="156" t="s">
        <v>62</v>
      </c>
      <c r="Y73" s="45"/>
      <c r="Z73" s="152" t="s">
        <v>225</v>
      </c>
      <c r="AA73" s="52"/>
      <c r="AB73" s="149" t="s">
        <v>107</v>
      </c>
      <c r="AC73" s="52"/>
    </row>
    <row r="74" spans="1:29" ht="10.55" customHeight="1" x14ac:dyDescent="0.2">
      <c r="A74" s="10">
        <v>73</v>
      </c>
      <c r="B74" s="55" t="s">
        <v>295</v>
      </c>
      <c r="C74" s="6" t="s">
        <v>296</v>
      </c>
      <c r="D74" s="16" t="s">
        <v>102</v>
      </c>
      <c r="E74" s="12">
        <f t="shared" si="2"/>
        <v>585000</v>
      </c>
      <c r="F74" s="29" t="s">
        <v>43</v>
      </c>
      <c r="G74" s="34">
        <v>54400</v>
      </c>
      <c r="H74" s="162" t="s">
        <v>56</v>
      </c>
      <c r="I74" s="34"/>
      <c r="J74" s="25" t="s">
        <v>34</v>
      </c>
      <c r="K74" s="35">
        <v>26400</v>
      </c>
      <c r="L74" s="163" t="s">
        <v>219</v>
      </c>
      <c r="M74" s="38"/>
      <c r="N74" s="23" t="s">
        <v>61</v>
      </c>
      <c r="O74" s="60">
        <v>93200</v>
      </c>
      <c r="P74" s="23" t="s">
        <v>68</v>
      </c>
      <c r="Q74" s="60">
        <v>176000</v>
      </c>
      <c r="R74" s="40" t="s">
        <v>71</v>
      </c>
      <c r="S74" s="42">
        <v>32000</v>
      </c>
      <c r="T74" s="158" t="s">
        <v>35</v>
      </c>
      <c r="U74" s="42"/>
      <c r="V74" s="32" t="s">
        <v>202</v>
      </c>
      <c r="W74" s="44">
        <v>128000</v>
      </c>
      <c r="X74" s="156" t="s">
        <v>209</v>
      </c>
      <c r="Y74" s="45"/>
      <c r="Z74" s="152" t="s">
        <v>59</v>
      </c>
      <c r="AA74" s="52"/>
      <c r="AB74" s="47" t="s">
        <v>216</v>
      </c>
      <c r="AC74" s="52">
        <v>75000</v>
      </c>
    </row>
    <row r="75" spans="1:29" ht="10.55" customHeight="1" x14ac:dyDescent="0.2">
      <c r="A75" s="10">
        <v>74</v>
      </c>
      <c r="B75" s="55" t="s">
        <v>444</v>
      </c>
      <c r="C75" s="6" t="s">
        <v>443</v>
      </c>
      <c r="D75" s="16" t="s">
        <v>102</v>
      </c>
      <c r="E75" s="12">
        <f t="shared" si="2"/>
        <v>580000</v>
      </c>
      <c r="F75" s="29" t="s">
        <v>43</v>
      </c>
      <c r="G75" s="34">
        <v>54400</v>
      </c>
      <c r="H75" s="30" t="s">
        <v>206</v>
      </c>
      <c r="I75" s="34">
        <v>36800</v>
      </c>
      <c r="J75" s="25" t="s">
        <v>34</v>
      </c>
      <c r="K75" s="35">
        <v>26400</v>
      </c>
      <c r="L75" s="163" t="s">
        <v>294</v>
      </c>
      <c r="M75" s="38"/>
      <c r="N75" s="23" t="s">
        <v>104</v>
      </c>
      <c r="O75" s="60">
        <v>24000</v>
      </c>
      <c r="P75" s="23" t="s">
        <v>220</v>
      </c>
      <c r="Q75" s="60">
        <v>240000</v>
      </c>
      <c r="R75" s="40" t="s">
        <v>208</v>
      </c>
      <c r="S75" s="42">
        <v>70400</v>
      </c>
      <c r="T75" s="158" t="s">
        <v>35</v>
      </c>
      <c r="U75" s="42"/>
      <c r="V75" s="32" t="s">
        <v>202</v>
      </c>
      <c r="W75" s="44">
        <v>128000</v>
      </c>
      <c r="X75" s="156" t="s">
        <v>62</v>
      </c>
      <c r="Y75" s="45"/>
      <c r="Z75" s="152" t="s">
        <v>106</v>
      </c>
      <c r="AA75" s="52"/>
      <c r="AB75" s="149" t="s">
        <v>107</v>
      </c>
      <c r="AC75" s="52"/>
    </row>
    <row r="76" spans="1:29" ht="10.55" customHeight="1" x14ac:dyDescent="0.2">
      <c r="A76" s="10">
        <v>75</v>
      </c>
      <c r="B76" s="55" t="s">
        <v>289</v>
      </c>
      <c r="C76" s="6" t="s">
        <v>290</v>
      </c>
      <c r="D76" s="16" t="s">
        <v>102</v>
      </c>
      <c r="E76" s="12">
        <f t="shared" si="2"/>
        <v>576600</v>
      </c>
      <c r="F76" s="29" t="s">
        <v>291</v>
      </c>
      <c r="G76" s="34">
        <v>128000</v>
      </c>
      <c r="H76" s="30" t="s">
        <v>43</v>
      </c>
      <c r="I76" s="34">
        <v>54400</v>
      </c>
      <c r="J76" s="25" t="s">
        <v>34</v>
      </c>
      <c r="K76" s="35">
        <v>26400</v>
      </c>
      <c r="L76" s="25" t="s">
        <v>199</v>
      </c>
      <c r="M76" s="38">
        <v>36800</v>
      </c>
      <c r="N76" s="164" t="s">
        <v>45</v>
      </c>
      <c r="O76" s="60"/>
      <c r="P76" s="164" t="s">
        <v>48</v>
      </c>
      <c r="Q76" s="60"/>
      <c r="R76" s="40" t="s">
        <v>233</v>
      </c>
      <c r="S76" s="42">
        <v>128000</v>
      </c>
      <c r="T76" s="158" t="s">
        <v>35</v>
      </c>
      <c r="U76" s="42"/>
      <c r="V76" s="32" t="s">
        <v>202</v>
      </c>
      <c r="W76" s="44">
        <v>128000</v>
      </c>
      <c r="X76" s="156" t="s">
        <v>62</v>
      </c>
      <c r="Y76" s="45"/>
      <c r="Z76" s="152" t="s">
        <v>107</v>
      </c>
      <c r="AA76" s="52"/>
      <c r="AB76" s="47" t="s">
        <v>216</v>
      </c>
      <c r="AC76" s="52">
        <v>75000</v>
      </c>
    </row>
    <row r="77" spans="1:29" ht="10.55" customHeight="1" x14ac:dyDescent="0.2">
      <c r="A77" s="10">
        <v>76</v>
      </c>
      <c r="B77" s="55" t="s">
        <v>341</v>
      </c>
      <c r="C77" s="6" t="s">
        <v>406</v>
      </c>
      <c r="D77" s="16" t="s">
        <v>102</v>
      </c>
      <c r="E77" s="12">
        <f t="shared" si="2"/>
        <v>573800</v>
      </c>
      <c r="F77" s="29" t="s">
        <v>291</v>
      </c>
      <c r="G77" s="34">
        <v>128000</v>
      </c>
      <c r="H77" s="30" t="s">
        <v>43</v>
      </c>
      <c r="I77" s="33">
        <v>54400</v>
      </c>
      <c r="J77" s="25" t="s">
        <v>34</v>
      </c>
      <c r="K77" s="35">
        <v>26400</v>
      </c>
      <c r="L77" s="25" t="s">
        <v>199</v>
      </c>
      <c r="M77" s="38">
        <v>36800</v>
      </c>
      <c r="N77" s="164" t="s">
        <v>51</v>
      </c>
      <c r="O77" s="60"/>
      <c r="P77" s="23" t="s">
        <v>60</v>
      </c>
      <c r="Q77" s="60">
        <v>93200</v>
      </c>
      <c r="R77" s="40" t="s">
        <v>71</v>
      </c>
      <c r="S77" s="42">
        <v>32000</v>
      </c>
      <c r="T77" s="158" t="s">
        <v>213</v>
      </c>
      <c r="U77" s="42"/>
      <c r="V77" s="32" t="s">
        <v>202</v>
      </c>
      <c r="W77" s="44">
        <v>128000</v>
      </c>
      <c r="X77" s="156" t="s">
        <v>209</v>
      </c>
      <c r="Y77" s="45"/>
      <c r="Z77" s="152" t="s">
        <v>225</v>
      </c>
      <c r="AA77" s="52"/>
      <c r="AB77" s="47" t="s">
        <v>216</v>
      </c>
      <c r="AC77" s="52">
        <v>75000</v>
      </c>
    </row>
    <row r="78" spans="1:29" ht="10.55" customHeight="1" x14ac:dyDescent="0.2">
      <c r="A78" s="10">
        <v>77</v>
      </c>
      <c r="B78" s="55" t="s">
        <v>272</v>
      </c>
      <c r="C78" s="6" t="s">
        <v>427</v>
      </c>
      <c r="D78" s="16" t="s">
        <v>102</v>
      </c>
      <c r="E78" s="12">
        <f t="shared" si="2"/>
        <v>564800</v>
      </c>
      <c r="F78" s="29" t="s">
        <v>273</v>
      </c>
      <c r="G78" s="34">
        <v>176000</v>
      </c>
      <c r="H78" s="30" t="s">
        <v>236</v>
      </c>
      <c r="I78" s="34">
        <v>176000</v>
      </c>
      <c r="J78" s="163" t="s">
        <v>219</v>
      </c>
      <c r="K78" s="35"/>
      <c r="L78" s="25" t="s">
        <v>199</v>
      </c>
      <c r="M78" s="38">
        <v>36800</v>
      </c>
      <c r="N78" s="23" t="s">
        <v>237</v>
      </c>
      <c r="O78" s="60">
        <v>176000</v>
      </c>
      <c r="P78" s="164" t="s">
        <v>51</v>
      </c>
      <c r="Q78" s="60"/>
      <c r="R78" s="158" t="s">
        <v>196</v>
      </c>
      <c r="S78" s="42"/>
      <c r="T78" s="158" t="s">
        <v>240</v>
      </c>
      <c r="U78" s="42"/>
      <c r="V78" s="156" t="s">
        <v>209</v>
      </c>
      <c r="W78" s="44"/>
      <c r="X78" s="156" t="s">
        <v>62</v>
      </c>
      <c r="Y78" s="45"/>
      <c r="Z78" s="152" t="s">
        <v>215</v>
      </c>
      <c r="AA78" s="52"/>
      <c r="AB78" s="149" t="s">
        <v>107</v>
      </c>
      <c r="AC78" s="52"/>
    </row>
    <row r="79" spans="1:29" ht="10.55" customHeight="1" x14ac:dyDescent="0.2">
      <c r="A79" s="10">
        <v>78</v>
      </c>
      <c r="B79" s="55" t="s">
        <v>380</v>
      </c>
      <c r="C79" s="6" t="s">
        <v>379</v>
      </c>
      <c r="D79" s="16" t="s">
        <v>102</v>
      </c>
      <c r="E79" s="12">
        <f t="shared" si="2"/>
        <v>564400</v>
      </c>
      <c r="F79" s="29" t="s">
        <v>43</v>
      </c>
      <c r="G79" s="34">
        <v>54400</v>
      </c>
      <c r="H79" s="30" t="s">
        <v>236</v>
      </c>
      <c r="I79" s="33">
        <v>176000</v>
      </c>
      <c r="J79" s="25" t="s">
        <v>34</v>
      </c>
      <c r="K79" s="37">
        <v>26400</v>
      </c>
      <c r="L79" s="25" t="s">
        <v>64</v>
      </c>
      <c r="M79" s="37">
        <v>54400</v>
      </c>
      <c r="N79" s="23" t="s">
        <v>61</v>
      </c>
      <c r="O79" s="60">
        <v>93200</v>
      </c>
      <c r="P79" s="164" t="s">
        <v>381</v>
      </c>
      <c r="Q79" s="60"/>
      <c r="R79" s="40" t="s">
        <v>71</v>
      </c>
      <c r="S79" s="42">
        <v>32000</v>
      </c>
      <c r="T79" s="158" t="s">
        <v>224</v>
      </c>
      <c r="U79" s="42"/>
      <c r="V79" s="32" t="s">
        <v>202</v>
      </c>
      <c r="W79" s="44">
        <v>128000</v>
      </c>
      <c r="X79" s="156" t="s">
        <v>72</v>
      </c>
      <c r="Y79" s="45"/>
      <c r="Z79" s="152" t="s">
        <v>215</v>
      </c>
      <c r="AA79" s="51"/>
      <c r="AB79" s="149" t="s">
        <v>107</v>
      </c>
      <c r="AC79" s="52"/>
    </row>
    <row r="80" spans="1:29" ht="10.55" customHeight="1" x14ac:dyDescent="0.2">
      <c r="A80" s="10">
        <v>79</v>
      </c>
      <c r="B80" s="55" t="s">
        <v>263</v>
      </c>
      <c r="C80" s="21" t="s">
        <v>264</v>
      </c>
      <c r="D80" s="17" t="s">
        <v>102</v>
      </c>
      <c r="E80" s="12">
        <f t="shared" si="2"/>
        <v>554400</v>
      </c>
      <c r="F80" s="29" t="s">
        <v>43</v>
      </c>
      <c r="G80" s="34">
        <v>54400</v>
      </c>
      <c r="H80" s="30" t="s">
        <v>54</v>
      </c>
      <c r="I80" s="34">
        <v>36800</v>
      </c>
      <c r="J80" s="25" t="s">
        <v>34</v>
      </c>
      <c r="K80" s="37">
        <v>26400</v>
      </c>
      <c r="L80" s="25" t="s">
        <v>199</v>
      </c>
      <c r="M80" s="37">
        <v>36800</v>
      </c>
      <c r="N80" s="164" t="s">
        <v>51</v>
      </c>
      <c r="O80" s="60"/>
      <c r="P80" s="23" t="s">
        <v>220</v>
      </c>
      <c r="Q80" s="60">
        <v>240000</v>
      </c>
      <c r="R80" s="40" t="s">
        <v>71</v>
      </c>
      <c r="S80" s="42">
        <v>32000</v>
      </c>
      <c r="T80" s="158" t="s">
        <v>253</v>
      </c>
      <c r="U80" s="42"/>
      <c r="V80" s="32" t="s">
        <v>202</v>
      </c>
      <c r="W80" s="44">
        <v>128000</v>
      </c>
      <c r="X80" s="156" t="s">
        <v>62</v>
      </c>
      <c r="Y80" s="45"/>
      <c r="Z80" s="152" t="s">
        <v>225</v>
      </c>
      <c r="AA80" s="51"/>
      <c r="AB80" s="149" t="s">
        <v>107</v>
      </c>
      <c r="AC80" s="52"/>
    </row>
    <row r="81" spans="1:29" ht="10.55" customHeight="1" x14ac:dyDescent="0.2">
      <c r="A81" s="10">
        <v>80</v>
      </c>
      <c r="B81" s="55" t="s">
        <v>378</v>
      </c>
      <c r="C81" s="6" t="s">
        <v>377</v>
      </c>
      <c r="D81" s="17" t="s">
        <v>102</v>
      </c>
      <c r="E81" s="12">
        <f t="shared" si="2"/>
        <v>537867</v>
      </c>
      <c r="F81" s="29" t="s">
        <v>43</v>
      </c>
      <c r="G81" s="34">
        <v>54400</v>
      </c>
      <c r="H81" s="30" t="s">
        <v>103</v>
      </c>
      <c r="I81" s="34">
        <v>330667</v>
      </c>
      <c r="J81" s="25" t="s">
        <v>34</v>
      </c>
      <c r="K81" s="37">
        <v>26400</v>
      </c>
      <c r="L81" s="163" t="s">
        <v>32</v>
      </c>
      <c r="M81" s="38"/>
      <c r="N81" s="23" t="s">
        <v>104</v>
      </c>
      <c r="O81" s="60">
        <v>24000</v>
      </c>
      <c r="P81" s="164" t="s">
        <v>51</v>
      </c>
      <c r="Q81" s="60"/>
      <c r="R81" s="40" t="s">
        <v>71</v>
      </c>
      <c r="S81" s="42">
        <v>32000</v>
      </c>
      <c r="T81" s="40" t="s">
        <v>208</v>
      </c>
      <c r="U81" s="42">
        <v>70400</v>
      </c>
      <c r="V81" s="156" t="s">
        <v>209</v>
      </c>
      <c r="W81" s="44"/>
      <c r="X81" s="156" t="s">
        <v>62</v>
      </c>
      <c r="Y81" s="45"/>
      <c r="Z81" s="152" t="s">
        <v>59</v>
      </c>
      <c r="AA81" s="51"/>
      <c r="AB81" s="149" t="s">
        <v>107</v>
      </c>
      <c r="AC81" s="52"/>
    </row>
    <row r="82" spans="1:29" ht="10.55" customHeight="1" x14ac:dyDescent="0.2">
      <c r="A82" s="10">
        <v>81</v>
      </c>
      <c r="B82" s="55" t="s">
        <v>287</v>
      </c>
      <c r="C82" s="21" t="s">
        <v>288</v>
      </c>
      <c r="D82" s="17" t="s">
        <v>102</v>
      </c>
      <c r="E82" s="12">
        <f t="shared" si="2"/>
        <v>532400</v>
      </c>
      <c r="F82" s="29" t="s">
        <v>43</v>
      </c>
      <c r="G82" s="34">
        <v>54400</v>
      </c>
      <c r="H82" s="30" t="s">
        <v>236</v>
      </c>
      <c r="I82" s="34">
        <v>176000</v>
      </c>
      <c r="J82" s="25" t="s">
        <v>34</v>
      </c>
      <c r="K82" s="35">
        <v>26400</v>
      </c>
      <c r="L82" s="25" t="s">
        <v>64</v>
      </c>
      <c r="M82" s="38">
        <v>54400</v>
      </c>
      <c r="N82" s="23" t="s">
        <v>207</v>
      </c>
      <c r="O82" s="59">
        <v>93200</v>
      </c>
      <c r="P82" s="164" t="s">
        <v>51</v>
      </c>
      <c r="Q82" s="60"/>
      <c r="R82" s="158" t="s">
        <v>196</v>
      </c>
      <c r="S82" s="42"/>
      <c r="T82" s="158" t="s">
        <v>253</v>
      </c>
      <c r="U82" s="42"/>
      <c r="V82" s="32" t="s">
        <v>202</v>
      </c>
      <c r="W82" s="44">
        <v>128000</v>
      </c>
      <c r="X82" s="156" t="s">
        <v>209</v>
      </c>
      <c r="Y82" s="45"/>
      <c r="Z82" s="152" t="s">
        <v>106</v>
      </c>
      <c r="AA82" s="51"/>
      <c r="AB82" s="149" t="s">
        <v>107</v>
      </c>
      <c r="AC82" s="52"/>
    </row>
    <row r="83" spans="1:29" ht="10.55" customHeight="1" x14ac:dyDescent="0.2">
      <c r="A83" s="10">
        <v>82</v>
      </c>
      <c r="B83" s="55" t="s">
        <v>346</v>
      </c>
      <c r="C83" s="6" t="s">
        <v>344</v>
      </c>
      <c r="D83" s="17" t="s">
        <v>102</v>
      </c>
      <c r="E83" s="12">
        <f t="shared" si="2"/>
        <v>528000</v>
      </c>
      <c r="F83" s="29" t="s">
        <v>43</v>
      </c>
      <c r="G83" s="34">
        <v>54400</v>
      </c>
      <c r="H83" s="30" t="s">
        <v>236</v>
      </c>
      <c r="I83" s="34">
        <v>176000</v>
      </c>
      <c r="J83" s="25" t="s">
        <v>64</v>
      </c>
      <c r="K83" s="35">
        <v>54400</v>
      </c>
      <c r="L83" s="25" t="s">
        <v>299</v>
      </c>
      <c r="M83" s="38">
        <v>54400</v>
      </c>
      <c r="N83" s="164" t="s">
        <v>45</v>
      </c>
      <c r="O83" s="60"/>
      <c r="P83" s="164" t="s">
        <v>48</v>
      </c>
      <c r="Q83" s="60"/>
      <c r="R83" s="40" t="s">
        <v>71</v>
      </c>
      <c r="S83" s="42">
        <v>32000</v>
      </c>
      <c r="T83" s="40" t="s">
        <v>201</v>
      </c>
      <c r="U83" s="42">
        <v>28800</v>
      </c>
      <c r="V83" s="32" t="s">
        <v>202</v>
      </c>
      <c r="W83" s="44">
        <v>128000</v>
      </c>
      <c r="X83" s="156" t="s">
        <v>58</v>
      </c>
      <c r="Y83" s="45"/>
      <c r="Z83" s="152" t="s">
        <v>225</v>
      </c>
      <c r="AA83" s="51"/>
      <c r="AB83" s="149" t="s">
        <v>107</v>
      </c>
      <c r="AC83" s="52"/>
    </row>
    <row r="84" spans="1:29" ht="10.55" customHeight="1" x14ac:dyDescent="0.2">
      <c r="A84" s="10">
        <v>83</v>
      </c>
      <c r="B84" s="55" t="s">
        <v>342</v>
      </c>
      <c r="C84" s="6" t="s">
        <v>406</v>
      </c>
      <c r="D84" s="17" t="s">
        <v>102</v>
      </c>
      <c r="E84" s="12">
        <f t="shared" si="2"/>
        <v>526800</v>
      </c>
      <c r="F84" s="29" t="s">
        <v>291</v>
      </c>
      <c r="G84" s="34">
        <v>128000</v>
      </c>
      <c r="H84" s="30" t="s">
        <v>43</v>
      </c>
      <c r="I84" s="34">
        <v>54400</v>
      </c>
      <c r="J84" s="25" t="s">
        <v>64</v>
      </c>
      <c r="K84" s="35">
        <v>54400</v>
      </c>
      <c r="L84" s="25" t="s">
        <v>199</v>
      </c>
      <c r="M84" s="37">
        <v>36800</v>
      </c>
      <c r="N84" s="164" t="s">
        <v>51</v>
      </c>
      <c r="O84" s="60"/>
      <c r="P84" s="23" t="s">
        <v>60</v>
      </c>
      <c r="Q84" s="60">
        <v>93200</v>
      </c>
      <c r="R84" s="40" t="s">
        <v>71</v>
      </c>
      <c r="S84" s="42">
        <v>32000</v>
      </c>
      <c r="T84" s="158" t="s">
        <v>213</v>
      </c>
      <c r="U84" s="42"/>
      <c r="V84" s="32" t="s">
        <v>202</v>
      </c>
      <c r="W84" s="44">
        <v>128000</v>
      </c>
      <c r="X84" s="156" t="s">
        <v>209</v>
      </c>
      <c r="Y84" s="45"/>
      <c r="Z84" s="152" t="s">
        <v>225</v>
      </c>
      <c r="AA84" s="51"/>
      <c r="AB84" s="149" t="s">
        <v>107</v>
      </c>
      <c r="AC84" s="52"/>
    </row>
    <row r="85" spans="1:29" ht="10.55" customHeight="1" x14ac:dyDescent="0.2">
      <c r="A85" s="10">
        <v>84</v>
      </c>
      <c r="B85" s="55" t="s">
        <v>339</v>
      </c>
      <c r="C85" s="6" t="s">
        <v>406</v>
      </c>
      <c r="D85" s="17" t="s">
        <v>102</v>
      </c>
      <c r="E85" s="12">
        <f t="shared" si="2"/>
        <v>516400</v>
      </c>
      <c r="F85" s="29" t="s">
        <v>291</v>
      </c>
      <c r="G85" s="33">
        <v>128000</v>
      </c>
      <c r="H85" s="30" t="s">
        <v>43</v>
      </c>
      <c r="I85" s="34">
        <v>54400</v>
      </c>
      <c r="J85" s="25" t="s">
        <v>34</v>
      </c>
      <c r="K85" s="37">
        <v>26400</v>
      </c>
      <c r="L85" s="25" t="s">
        <v>64</v>
      </c>
      <c r="M85" s="38">
        <v>54400</v>
      </c>
      <c r="N85" s="164" t="s">
        <v>51</v>
      </c>
      <c r="O85" s="60"/>
      <c r="P85" s="23" t="s">
        <v>60</v>
      </c>
      <c r="Q85" s="60">
        <v>93200</v>
      </c>
      <c r="R85" s="40" t="s">
        <v>71</v>
      </c>
      <c r="S85" s="42">
        <v>32000</v>
      </c>
      <c r="T85" s="158" t="s">
        <v>213</v>
      </c>
      <c r="U85" s="42"/>
      <c r="V85" s="32" t="s">
        <v>202</v>
      </c>
      <c r="W85" s="44">
        <v>128000</v>
      </c>
      <c r="X85" s="156" t="s">
        <v>209</v>
      </c>
      <c r="Y85" s="45"/>
      <c r="Z85" s="152" t="s">
        <v>225</v>
      </c>
      <c r="AA85" s="51"/>
      <c r="AB85" s="149" t="s">
        <v>59</v>
      </c>
      <c r="AC85" s="52"/>
    </row>
    <row r="86" spans="1:29" ht="10.55" customHeight="1" x14ac:dyDescent="0.2">
      <c r="A86" s="10">
        <v>85</v>
      </c>
      <c r="B86" s="55" t="s">
        <v>375</v>
      </c>
      <c r="C86" s="6" t="s">
        <v>376</v>
      </c>
      <c r="D86" s="17" t="s">
        <v>102</v>
      </c>
      <c r="E86" s="12">
        <f t="shared" si="2"/>
        <v>515800</v>
      </c>
      <c r="F86" s="29" t="s">
        <v>43</v>
      </c>
      <c r="G86" s="34">
        <v>54400</v>
      </c>
      <c r="H86" s="30" t="s">
        <v>273</v>
      </c>
      <c r="I86" s="34">
        <v>176000</v>
      </c>
      <c r="J86" s="25" t="s">
        <v>34</v>
      </c>
      <c r="K86" s="35">
        <v>26400</v>
      </c>
      <c r="L86" s="163" t="s">
        <v>32</v>
      </c>
      <c r="M86" s="38"/>
      <c r="N86" s="23" t="s">
        <v>104</v>
      </c>
      <c r="O86" s="60">
        <v>24000</v>
      </c>
      <c r="P86" s="164" t="s">
        <v>51</v>
      </c>
      <c r="Q86" s="60"/>
      <c r="R86" s="40" t="s">
        <v>71</v>
      </c>
      <c r="S86" s="42">
        <v>32000</v>
      </c>
      <c r="T86" s="158" t="s">
        <v>35</v>
      </c>
      <c r="U86" s="42"/>
      <c r="V86" s="32" t="s">
        <v>202</v>
      </c>
      <c r="W86" s="44">
        <v>128000</v>
      </c>
      <c r="X86" s="156" t="s">
        <v>62</v>
      </c>
      <c r="Y86" s="45"/>
      <c r="Z86" s="152" t="s">
        <v>107</v>
      </c>
      <c r="AA86" s="51"/>
      <c r="AB86" s="47" t="s">
        <v>216</v>
      </c>
      <c r="AC86" s="52">
        <v>75000</v>
      </c>
    </row>
    <row r="87" spans="1:29" ht="10.55" customHeight="1" x14ac:dyDescent="0.2">
      <c r="A87" s="10">
        <v>86</v>
      </c>
      <c r="B87" s="55" t="s">
        <v>277</v>
      </c>
      <c r="C87" s="6" t="s">
        <v>275</v>
      </c>
      <c r="D87" s="17" t="s">
        <v>102</v>
      </c>
      <c r="E87" s="12">
        <f t="shared" si="2"/>
        <v>477200</v>
      </c>
      <c r="F87" s="29" t="s">
        <v>54</v>
      </c>
      <c r="G87" s="34">
        <v>36800</v>
      </c>
      <c r="H87" s="30" t="s">
        <v>236</v>
      </c>
      <c r="I87" s="34">
        <v>176000</v>
      </c>
      <c r="J87" s="163" t="s">
        <v>219</v>
      </c>
      <c r="K87" s="37"/>
      <c r="L87" s="163" t="s">
        <v>32</v>
      </c>
      <c r="M87" s="37"/>
      <c r="N87" s="23" t="s">
        <v>66</v>
      </c>
      <c r="O87" s="60">
        <v>43200</v>
      </c>
      <c r="P87" s="23" t="s">
        <v>60</v>
      </c>
      <c r="Q87" s="59">
        <v>93200</v>
      </c>
      <c r="R87" s="158" t="s">
        <v>278</v>
      </c>
      <c r="S87" s="42"/>
      <c r="T87" s="158" t="s">
        <v>196</v>
      </c>
      <c r="U87" s="42"/>
      <c r="V87" s="32" t="s">
        <v>202</v>
      </c>
      <c r="W87" s="44">
        <v>128000</v>
      </c>
      <c r="X87" s="156" t="s">
        <v>72</v>
      </c>
      <c r="Y87" s="45"/>
      <c r="Z87" s="152" t="s">
        <v>225</v>
      </c>
      <c r="AA87" s="51"/>
      <c r="AB87" s="149" t="s">
        <v>107</v>
      </c>
      <c r="AC87" s="52"/>
    </row>
    <row r="88" spans="1:29" ht="10.55" customHeight="1" x14ac:dyDescent="0.2">
      <c r="A88" s="10">
        <v>87</v>
      </c>
      <c r="B88" s="55" t="s">
        <v>441</v>
      </c>
      <c r="C88" s="21" t="s">
        <v>440</v>
      </c>
      <c r="D88" s="17" t="s">
        <v>102</v>
      </c>
      <c r="E88" s="12">
        <f t="shared" si="2"/>
        <v>474000</v>
      </c>
      <c r="F88" s="29" t="s">
        <v>43</v>
      </c>
      <c r="G88" s="34">
        <v>54400</v>
      </c>
      <c r="H88" s="30" t="s">
        <v>54</v>
      </c>
      <c r="I88" s="34">
        <v>36800</v>
      </c>
      <c r="J88" s="25" t="s">
        <v>64</v>
      </c>
      <c r="K88" s="37">
        <v>54400</v>
      </c>
      <c r="L88" s="25" t="s">
        <v>199</v>
      </c>
      <c r="M88" s="38">
        <v>36800</v>
      </c>
      <c r="N88" s="164" t="s">
        <v>51</v>
      </c>
      <c r="O88" s="59"/>
      <c r="P88" s="23" t="s">
        <v>207</v>
      </c>
      <c r="Q88" s="60">
        <v>93200</v>
      </c>
      <c r="R88" s="158" t="s">
        <v>278</v>
      </c>
      <c r="S88" s="42"/>
      <c r="T88" s="40" t="s">
        <v>208</v>
      </c>
      <c r="U88" s="42">
        <v>70400</v>
      </c>
      <c r="V88" s="32" t="s">
        <v>202</v>
      </c>
      <c r="W88" s="44">
        <v>128000</v>
      </c>
      <c r="X88" s="156" t="s">
        <v>209</v>
      </c>
      <c r="Y88" s="45"/>
      <c r="Z88" s="152" t="s">
        <v>106</v>
      </c>
      <c r="AA88" s="51"/>
      <c r="AB88" s="149" t="s">
        <v>59</v>
      </c>
      <c r="AC88" s="52"/>
    </row>
    <row r="89" spans="1:29" ht="10.55" customHeight="1" x14ac:dyDescent="0.2">
      <c r="A89" s="10">
        <v>88</v>
      </c>
      <c r="B89" s="55" t="s">
        <v>261</v>
      </c>
      <c r="C89" s="21" t="s">
        <v>262</v>
      </c>
      <c r="D89" s="17" t="s">
        <v>102</v>
      </c>
      <c r="E89" s="12">
        <f t="shared" si="2"/>
        <v>464000</v>
      </c>
      <c r="F89" s="29" t="s">
        <v>54</v>
      </c>
      <c r="G89" s="34">
        <v>36800</v>
      </c>
      <c r="H89" s="162" t="s">
        <v>33</v>
      </c>
      <c r="I89" s="34"/>
      <c r="J89" s="25" t="s">
        <v>64</v>
      </c>
      <c r="K89" s="35">
        <v>54400</v>
      </c>
      <c r="L89" s="163" t="s">
        <v>32</v>
      </c>
      <c r="M89" s="38"/>
      <c r="N89" s="23" t="s">
        <v>212</v>
      </c>
      <c r="O89" s="60">
        <v>36800</v>
      </c>
      <c r="P89" s="23" t="s">
        <v>237</v>
      </c>
      <c r="Q89" s="60">
        <v>176000</v>
      </c>
      <c r="R89" s="40" t="s">
        <v>71</v>
      </c>
      <c r="S89" s="42">
        <v>32000</v>
      </c>
      <c r="T89" s="158" t="s">
        <v>35</v>
      </c>
      <c r="U89" s="42"/>
      <c r="V89" s="32" t="s">
        <v>202</v>
      </c>
      <c r="W89" s="45">
        <v>128000</v>
      </c>
      <c r="X89" s="156" t="s">
        <v>73</v>
      </c>
      <c r="Y89" s="45"/>
      <c r="Z89" s="152" t="s">
        <v>215</v>
      </c>
      <c r="AA89" s="51"/>
      <c r="AB89" s="149" t="s">
        <v>107</v>
      </c>
      <c r="AC89" s="52"/>
    </row>
    <row r="90" spans="1:29" ht="10.55" customHeight="1" x14ac:dyDescent="0.2">
      <c r="A90" s="10">
        <v>89</v>
      </c>
      <c r="B90" s="55" t="s">
        <v>281</v>
      </c>
      <c r="C90" s="6" t="s">
        <v>282</v>
      </c>
      <c r="D90" s="17" t="s">
        <v>102</v>
      </c>
      <c r="E90" s="12">
        <f t="shared" si="2"/>
        <v>432800</v>
      </c>
      <c r="F90" s="29" t="s">
        <v>43</v>
      </c>
      <c r="G90" s="34">
        <v>54400</v>
      </c>
      <c r="H90" s="30" t="s">
        <v>54</v>
      </c>
      <c r="I90" s="34">
        <v>36800</v>
      </c>
      <c r="J90" s="25" t="s">
        <v>34</v>
      </c>
      <c r="K90" s="35">
        <v>26400</v>
      </c>
      <c r="L90" s="25" t="s">
        <v>199</v>
      </c>
      <c r="M90" s="38">
        <v>36800</v>
      </c>
      <c r="N90" s="23" t="s">
        <v>212</v>
      </c>
      <c r="O90" s="60">
        <v>36800</v>
      </c>
      <c r="P90" s="23" t="s">
        <v>66</v>
      </c>
      <c r="Q90" s="60">
        <v>43200</v>
      </c>
      <c r="R90" s="40" t="s">
        <v>208</v>
      </c>
      <c r="S90" s="42">
        <v>70400</v>
      </c>
      <c r="T90" s="158" t="s">
        <v>240</v>
      </c>
      <c r="U90" s="42"/>
      <c r="V90" s="32" t="s">
        <v>202</v>
      </c>
      <c r="W90" s="44">
        <v>128000</v>
      </c>
      <c r="X90" s="156" t="s">
        <v>209</v>
      </c>
      <c r="Y90" s="45"/>
      <c r="Z90" s="152" t="s">
        <v>106</v>
      </c>
      <c r="AA90" s="51"/>
      <c r="AB90" s="149" t="s">
        <v>107</v>
      </c>
      <c r="AC90" s="52"/>
    </row>
    <row r="91" spans="1:29" ht="10.55" customHeight="1" x14ac:dyDescent="0.2">
      <c r="A91" s="10">
        <v>90</v>
      </c>
      <c r="B91" s="55" t="s">
        <v>423</v>
      </c>
      <c r="C91" s="6" t="s">
        <v>422</v>
      </c>
      <c r="D91" s="17" t="s">
        <v>102</v>
      </c>
      <c r="E91" s="12">
        <f t="shared" si="2"/>
        <v>421600</v>
      </c>
      <c r="F91" s="29" t="s">
        <v>43</v>
      </c>
      <c r="G91" s="34">
        <v>54400</v>
      </c>
      <c r="H91" s="30" t="s">
        <v>54</v>
      </c>
      <c r="I91" s="34">
        <v>36800</v>
      </c>
      <c r="J91" s="25" t="s">
        <v>34</v>
      </c>
      <c r="K91" s="37">
        <v>26400</v>
      </c>
      <c r="L91" s="25" t="s">
        <v>199</v>
      </c>
      <c r="M91" s="38">
        <v>36800</v>
      </c>
      <c r="N91" s="23" t="s">
        <v>212</v>
      </c>
      <c r="O91" s="60">
        <v>36800</v>
      </c>
      <c r="P91" s="23" t="s">
        <v>65</v>
      </c>
      <c r="Q91" s="60">
        <v>70400</v>
      </c>
      <c r="R91" s="40" t="s">
        <v>71</v>
      </c>
      <c r="S91" s="42">
        <v>32000</v>
      </c>
      <c r="T91" s="158" t="s">
        <v>213</v>
      </c>
      <c r="U91" s="42"/>
      <c r="V91" s="32" t="s">
        <v>202</v>
      </c>
      <c r="W91" s="44">
        <v>128000</v>
      </c>
      <c r="X91" s="156" t="s">
        <v>62</v>
      </c>
      <c r="Y91" s="45"/>
      <c r="Z91" s="152" t="s">
        <v>225</v>
      </c>
      <c r="AA91" s="51"/>
      <c r="AB91" s="149" t="s">
        <v>107</v>
      </c>
      <c r="AC91" s="52"/>
    </row>
    <row r="92" spans="1:29" ht="10.55" customHeight="1" x14ac:dyDescent="0.2">
      <c r="A92" s="10">
        <v>91</v>
      </c>
      <c r="B92" s="55" t="s">
        <v>354</v>
      </c>
      <c r="C92" s="6" t="s">
        <v>355</v>
      </c>
      <c r="D92" s="17" t="s">
        <v>102</v>
      </c>
      <c r="E92" s="12">
        <f t="shared" si="2"/>
        <v>419600</v>
      </c>
      <c r="F92" s="161" t="s">
        <v>56</v>
      </c>
      <c r="G92" s="34"/>
      <c r="H92" s="162" t="s">
        <v>33</v>
      </c>
      <c r="I92" s="34"/>
      <c r="J92" s="25" t="s">
        <v>64</v>
      </c>
      <c r="K92" s="37">
        <v>54400</v>
      </c>
      <c r="L92" s="25" t="s">
        <v>199</v>
      </c>
      <c r="M92" s="38">
        <v>36800</v>
      </c>
      <c r="N92" s="23" t="s">
        <v>207</v>
      </c>
      <c r="O92" s="60">
        <v>93200</v>
      </c>
      <c r="P92" s="23" t="s">
        <v>212</v>
      </c>
      <c r="Q92" s="60">
        <v>36800</v>
      </c>
      <c r="R92" s="40" t="s">
        <v>208</v>
      </c>
      <c r="S92" s="42">
        <v>70400</v>
      </c>
      <c r="T92" s="40" t="s">
        <v>233</v>
      </c>
      <c r="U92" s="42">
        <v>128000</v>
      </c>
      <c r="V92" s="156" t="s">
        <v>209</v>
      </c>
      <c r="W92" s="44"/>
      <c r="X92" s="156" t="s">
        <v>62</v>
      </c>
      <c r="Y92" s="45"/>
      <c r="Z92" s="152" t="s">
        <v>59</v>
      </c>
      <c r="AA92" s="51"/>
      <c r="AB92" s="149" t="s">
        <v>107</v>
      </c>
      <c r="AC92" s="52"/>
    </row>
    <row r="93" spans="1:29" ht="10.55" customHeight="1" x14ac:dyDescent="0.2">
      <c r="A93" s="10">
        <v>92</v>
      </c>
      <c r="B93" s="55" t="s">
        <v>238</v>
      </c>
      <c r="C93" s="21" t="s">
        <v>239</v>
      </c>
      <c r="D93" s="17" t="s">
        <v>102</v>
      </c>
      <c r="E93" s="12">
        <f t="shared" si="2"/>
        <v>419200</v>
      </c>
      <c r="F93" s="29" t="s">
        <v>43</v>
      </c>
      <c r="G93" s="34">
        <v>54400</v>
      </c>
      <c r="H93" s="162" t="s">
        <v>33</v>
      </c>
      <c r="I93" s="33"/>
      <c r="J93" s="163" t="s">
        <v>219</v>
      </c>
      <c r="K93" s="37"/>
      <c r="L93" s="25" t="s">
        <v>199</v>
      </c>
      <c r="M93" s="38">
        <v>36800</v>
      </c>
      <c r="N93" s="23" t="s">
        <v>237</v>
      </c>
      <c r="O93" s="59">
        <v>176000</v>
      </c>
      <c r="P93" s="23" t="s">
        <v>104</v>
      </c>
      <c r="Q93" s="60">
        <v>24000</v>
      </c>
      <c r="R93" s="158" t="s">
        <v>213</v>
      </c>
      <c r="S93" s="42"/>
      <c r="T93" s="158" t="s">
        <v>240</v>
      </c>
      <c r="U93" s="42"/>
      <c r="V93" s="32" t="s">
        <v>202</v>
      </c>
      <c r="W93" s="44">
        <v>128000</v>
      </c>
      <c r="X93" s="156" t="s">
        <v>72</v>
      </c>
      <c r="Y93" s="45"/>
      <c r="Z93" s="152" t="s">
        <v>225</v>
      </c>
      <c r="AA93" s="51"/>
      <c r="AB93" s="149" t="s">
        <v>107</v>
      </c>
      <c r="AC93" s="52"/>
    </row>
    <row r="94" spans="1:29" ht="10.55" customHeight="1" x14ac:dyDescent="0.2">
      <c r="A94" s="10">
        <v>93</v>
      </c>
      <c r="B94" s="55" t="s">
        <v>409</v>
      </c>
      <c r="C94" s="6" t="s">
        <v>410</v>
      </c>
      <c r="D94" s="17" t="s">
        <v>102</v>
      </c>
      <c r="E94" s="12">
        <f t="shared" si="2"/>
        <v>419200</v>
      </c>
      <c r="F94" s="29" t="s">
        <v>291</v>
      </c>
      <c r="G94" s="34">
        <v>128000</v>
      </c>
      <c r="H94" s="30" t="s">
        <v>43</v>
      </c>
      <c r="I94" s="34">
        <v>54400</v>
      </c>
      <c r="J94" s="25" t="s">
        <v>64</v>
      </c>
      <c r="K94" s="35">
        <v>54400</v>
      </c>
      <c r="L94" s="25" t="s">
        <v>299</v>
      </c>
      <c r="M94" s="38">
        <v>54400</v>
      </c>
      <c r="N94" s="164" t="s">
        <v>50</v>
      </c>
      <c r="O94" s="60"/>
      <c r="P94" s="164" t="s">
        <v>381</v>
      </c>
      <c r="Q94" s="60"/>
      <c r="R94" s="158" t="s">
        <v>224</v>
      </c>
      <c r="S94" s="42"/>
      <c r="T94" s="158" t="s">
        <v>35</v>
      </c>
      <c r="U94" s="42"/>
      <c r="V94" s="32" t="s">
        <v>202</v>
      </c>
      <c r="W94" s="44">
        <v>128000</v>
      </c>
      <c r="X94" s="156" t="s">
        <v>209</v>
      </c>
      <c r="Y94" s="45"/>
      <c r="Z94" s="152" t="s">
        <v>106</v>
      </c>
      <c r="AA94" s="51"/>
      <c r="AB94" s="149" t="s">
        <v>107</v>
      </c>
      <c r="AC94" s="52"/>
    </row>
    <row r="95" spans="1:29" ht="10.55" customHeight="1" x14ac:dyDescent="0.2">
      <c r="A95" s="10">
        <v>94</v>
      </c>
      <c r="B95" s="55" t="s">
        <v>414</v>
      </c>
      <c r="C95" s="6" t="s">
        <v>413</v>
      </c>
      <c r="D95" s="17" t="s">
        <v>102</v>
      </c>
      <c r="E95" s="12">
        <f t="shared" si="2"/>
        <v>391800</v>
      </c>
      <c r="F95" s="29" t="s">
        <v>43</v>
      </c>
      <c r="G95" s="34">
        <v>54400</v>
      </c>
      <c r="H95" s="30" t="s">
        <v>54</v>
      </c>
      <c r="I95" s="34">
        <v>36800</v>
      </c>
      <c r="J95" s="163" t="s">
        <v>32</v>
      </c>
      <c r="K95" s="37"/>
      <c r="L95" s="25" t="s">
        <v>199</v>
      </c>
      <c r="M95" s="38">
        <v>36800</v>
      </c>
      <c r="N95" s="23" t="s">
        <v>104</v>
      </c>
      <c r="O95" s="60">
        <v>24000</v>
      </c>
      <c r="P95" s="23" t="s">
        <v>212</v>
      </c>
      <c r="Q95" s="60">
        <v>36800</v>
      </c>
      <c r="R95" s="158" t="s">
        <v>213</v>
      </c>
      <c r="S95" s="42"/>
      <c r="T95" s="158" t="s">
        <v>240</v>
      </c>
      <c r="U95" s="42"/>
      <c r="V95" s="32" t="s">
        <v>202</v>
      </c>
      <c r="W95" s="44">
        <v>128000</v>
      </c>
      <c r="X95" s="156" t="s">
        <v>209</v>
      </c>
      <c r="Y95" s="45"/>
      <c r="Z95" s="152" t="s">
        <v>107</v>
      </c>
      <c r="AA95" s="51"/>
      <c r="AB95" s="47" t="s">
        <v>216</v>
      </c>
      <c r="AC95" s="52">
        <v>75000</v>
      </c>
    </row>
    <row r="96" spans="1:29" ht="10.55" customHeight="1" x14ac:dyDescent="0.2">
      <c r="A96" s="10">
        <v>95</v>
      </c>
      <c r="B96" s="55" t="s">
        <v>393</v>
      </c>
      <c r="C96" s="6" t="s">
        <v>391</v>
      </c>
      <c r="D96" s="17" t="s">
        <v>102</v>
      </c>
      <c r="E96" s="12">
        <f t="shared" si="2"/>
        <v>389200</v>
      </c>
      <c r="F96" s="29" t="s">
        <v>43</v>
      </c>
      <c r="G96" s="34">
        <v>54400</v>
      </c>
      <c r="H96" s="30" t="s">
        <v>223</v>
      </c>
      <c r="I96" s="34">
        <v>24000</v>
      </c>
      <c r="J96" s="163" t="s">
        <v>32</v>
      </c>
      <c r="K96" s="37"/>
      <c r="L96" s="25" t="s">
        <v>199</v>
      </c>
      <c r="M96" s="38">
        <v>36800</v>
      </c>
      <c r="N96" s="23" t="s">
        <v>61</v>
      </c>
      <c r="O96" s="60">
        <v>93200</v>
      </c>
      <c r="P96" s="23" t="s">
        <v>104</v>
      </c>
      <c r="Q96" s="60">
        <v>24000</v>
      </c>
      <c r="R96" s="158" t="s">
        <v>70</v>
      </c>
      <c r="S96" s="42"/>
      <c r="T96" s="40" t="s">
        <v>201</v>
      </c>
      <c r="U96" s="42">
        <v>28800</v>
      </c>
      <c r="V96" s="32" t="s">
        <v>202</v>
      </c>
      <c r="W96" s="44">
        <v>128000</v>
      </c>
      <c r="X96" s="156" t="s">
        <v>62</v>
      </c>
      <c r="Y96" s="45"/>
      <c r="Z96" s="152" t="s">
        <v>215</v>
      </c>
      <c r="AA96" s="51"/>
      <c r="AB96" s="149" t="s">
        <v>59</v>
      </c>
      <c r="AC96" s="52"/>
    </row>
    <row r="97" spans="1:29" ht="10.55" customHeight="1" x14ac:dyDescent="0.2">
      <c r="A97" s="10">
        <v>96</v>
      </c>
      <c r="B97" s="55" t="s">
        <v>274</v>
      </c>
      <c r="C97" s="6" t="s">
        <v>275</v>
      </c>
      <c r="D97" s="17" t="s">
        <v>102</v>
      </c>
      <c r="E97" s="12">
        <f t="shared" si="2"/>
        <v>332000</v>
      </c>
      <c r="F97" s="29" t="s">
        <v>43</v>
      </c>
      <c r="G97" s="34">
        <v>54400</v>
      </c>
      <c r="H97" s="162" t="s">
        <v>33</v>
      </c>
      <c r="I97" s="34"/>
      <c r="J97" s="25" t="s">
        <v>34</v>
      </c>
      <c r="K97" s="35">
        <v>26400</v>
      </c>
      <c r="L97" s="25" t="s">
        <v>64</v>
      </c>
      <c r="M97" s="38">
        <v>54400</v>
      </c>
      <c r="N97" s="23" t="s">
        <v>212</v>
      </c>
      <c r="O97" s="60">
        <v>36800</v>
      </c>
      <c r="P97" s="164" t="s">
        <v>51</v>
      </c>
      <c r="Q97" s="59"/>
      <c r="R97" s="40" t="s">
        <v>71</v>
      </c>
      <c r="S97" s="42">
        <v>32000</v>
      </c>
      <c r="T97" s="158" t="s">
        <v>35</v>
      </c>
      <c r="U97" s="42"/>
      <c r="V97" s="32" t="s">
        <v>202</v>
      </c>
      <c r="W97" s="44">
        <v>128000</v>
      </c>
      <c r="X97" s="156" t="s">
        <v>276</v>
      </c>
      <c r="Y97" s="45"/>
      <c r="Z97" s="152" t="s">
        <v>59</v>
      </c>
      <c r="AA97" s="51"/>
      <c r="AB97" s="149" t="s">
        <v>107</v>
      </c>
      <c r="AC97" s="52"/>
    </row>
    <row r="98" spans="1:29" ht="10.55" customHeight="1" x14ac:dyDescent="0.2">
      <c r="A98" s="10">
        <v>97</v>
      </c>
      <c r="B98" s="55" t="s">
        <v>351</v>
      </c>
      <c r="C98" s="6" t="s">
        <v>352</v>
      </c>
      <c r="D98" s="17" t="s">
        <v>102</v>
      </c>
      <c r="E98" s="12">
        <f t="shared" si="2"/>
        <v>292720</v>
      </c>
      <c r="F98" s="29" t="s">
        <v>43</v>
      </c>
      <c r="G98" s="34">
        <v>54400</v>
      </c>
      <c r="H98" s="162" t="s">
        <v>33</v>
      </c>
      <c r="I98" s="33"/>
      <c r="J98" s="25" t="s">
        <v>64</v>
      </c>
      <c r="K98" s="37">
        <v>54400</v>
      </c>
      <c r="L98" s="25" t="s">
        <v>199</v>
      </c>
      <c r="M98" s="38">
        <v>36800</v>
      </c>
      <c r="N98" s="23" t="s">
        <v>61</v>
      </c>
      <c r="O98" s="60">
        <v>93200</v>
      </c>
      <c r="P98" s="23" t="s">
        <v>307</v>
      </c>
      <c r="Q98" s="59">
        <v>21920</v>
      </c>
      <c r="R98" s="40" t="s">
        <v>71</v>
      </c>
      <c r="S98" s="42">
        <v>32000</v>
      </c>
      <c r="T98" s="158" t="s">
        <v>70</v>
      </c>
      <c r="U98" s="42"/>
      <c r="V98" s="156" t="s">
        <v>209</v>
      </c>
      <c r="W98" s="44"/>
      <c r="X98" s="156" t="s">
        <v>203</v>
      </c>
      <c r="Y98" s="45"/>
      <c r="Z98" s="152" t="s">
        <v>215</v>
      </c>
      <c r="AA98" s="51"/>
      <c r="AB98" s="149" t="s">
        <v>107</v>
      </c>
      <c r="AC98" s="52"/>
    </row>
    <row r="99" spans="1:29" ht="10.55" customHeight="1" x14ac:dyDescent="0.2">
      <c r="A99" s="10">
        <v>98</v>
      </c>
      <c r="B99" s="55" t="s">
        <v>222</v>
      </c>
      <c r="C99" s="21" t="s">
        <v>221</v>
      </c>
      <c r="D99" s="17" t="s">
        <v>102</v>
      </c>
      <c r="E99" s="12">
        <f t="shared" si="2"/>
        <v>291200</v>
      </c>
      <c r="F99" s="29" t="s">
        <v>223</v>
      </c>
      <c r="G99" s="34">
        <v>24000</v>
      </c>
      <c r="H99" s="30" t="s">
        <v>54</v>
      </c>
      <c r="I99" s="34">
        <v>36800</v>
      </c>
      <c r="J99" s="163" t="s">
        <v>32</v>
      </c>
      <c r="K99" s="37"/>
      <c r="L99" s="163" t="s">
        <v>52</v>
      </c>
      <c r="M99" s="38"/>
      <c r="N99" s="164" t="s">
        <v>48</v>
      </c>
      <c r="O99" s="60"/>
      <c r="P99" s="23" t="s">
        <v>65</v>
      </c>
      <c r="Q99" s="60">
        <v>70400</v>
      </c>
      <c r="R99" s="40" t="s">
        <v>71</v>
      </c>
      <c r="S99" s="42">
        <v>32000</v>
      </c>
      <c r="T99" s="158" t="s">
        <v>224</v>
      </c>
      <c r="U99" s="42"/>
      <c r="V99" s="32" t="s">
        <v>202</v>
      </c>
      <c r="W99" s="44">
        <v>128000</v>
      </c>
      <c r="X99" s="156" t="s">
        <v>62</v>
      </c>
      <c r="Y99" s="45"/>
      <c r="Z99" s="152" t="s">
        <v>225</v>
      </c>
      <c r="AA99" s="51"/>
      <c r="AB99" s="149" t="s">
        <v>59</v>
      </c>
      <c r="AC99" s="52"/>
    </row>
    <row r="100" spans="1:29" ht="10.55" customHeight="1" x14ac:dyDescent="0.2">
      <c r="A100" s="10">
        <v>99</v>
      </c>
      <c r="B100" s="55" t="s">
        <v>210</v>
      </c>
      <c r="C100" s="21" t="s">
        <v>211</v>
      </c>
      <c r="D100" s="17" t="s">
        <v>102</v>
      </c>
      <c r="E100" s="12">
        <f t="shared" si="2"/>
        <v>276600</v>
      </c>
      <c r="F100" s="29" t="s">
        <v>54</v>
      </c>
      <c r="G100" s="34">
        <v>36800</v>
      </c>
      <c r="H100" s="162" t="s">
        <v>33</v>
      </c>
      <c r="I100" s="34"/>
      <c r="J100" s="163" t="s">
        <v>63</v>
      </c>
      <c r="K100" s="37"/>
      <c r="L100" s="163" t="s">
        <v>52</v>
      </c>
      <c r="M100" s="37"/>
      <c r="N100" s="164" t="s">
        <v>200</v>
      </c>
      <c r="O100" s="60"/>
      <c r="P100" s="23" t="s">
        <v>212</v>
      </c>
      <c r="Q100" s="60">
        <v>36800</v>
      </c>
      <c r="R100" s="158" t="s">
        <v>213</v>
      </c>
      <c r="S100" s="42"/>
      <c r="T100" s="158" t="s">
        <v>214</v>
      </c>
      <c r="U100" s="42"/>
      <c r="V100" s="32" t="s">
        <v>202</v>
      </c>
      <c r="W100" s="45">
        <v>128000</v>
      </c>
      <c r="X100" s="156" t="s">
        <v>62</v>
      </c>
      <c r="Y100" s="45"/>
      <c r="Z100" s="152" t="s">
        <v>215</v>
      </c>
      <c r="AA100" s="51"/>
      <c r="AB100" s="47" t="s">
        <v>216</v>
      </c>
      <c r="AC100" s="52">
        <v>75000</v>
      </c>
    </row>
    <row r="101" spans="1:29" ht="10.55" customHeight="1" thickBot="1" x14ac:dyDescent="0.25">
      <c r="A101" s="10">
        <v>100</v>
      </c>
      <c r="B101" s="57" t="s">
        <v>439</v>
      </c>
      <c r="C101" s="11" t="s">
        <v>438</v>
      </c>
      <c r="D101" s="18" t="s">
        <v>102</v>
      </c>
      <c r="E101" s="13">
        <f t="shared" si="2"/>
        <v>244800</v>
      </c>
      <c r="F101" s="166" t="s">
        <v>236</v>
      </c>
      <c r="G101" s="34">
        <v>176000</v>
      </c>
      <c r="H101" s="167" t="s">
        <v>33</v>
      </c>
      <c r="I101" s="34"/>
      <c r="J101" s="169" t="s">
        <v>219</v>
      </c>
      <c r="K101" s="37"/>
      <c r="L101" s="26" t="s">
        <v>199</v>
      </c>
      <c r="M101" s="38">
        <v>36800</v>
      </c>
      <c r="N101" s="165" t="s">
        <v>45</v>
      </c>
      <c r="O101" s="60"/>
      <c r="P101" s="165" t="s">
        <v>51</v>
      </c>
      <c r="Q101" s="60"/>
      <c r="R101" s="168" t="s">
        <v>71</v>
      </c>
      <c r="S101" s="43">
        <v>32000</v>
      </c>
      <c r="T101" s="160" t="s">
        <v>224</v>
      </c>
      <c r="U101" s="43"/>
      <c r="V101" s="157" t="s">
        <v>73</v>
      </c>
      <c r="W101" s="46"/>
      <c r="X101" s="157" t="s">
        <v>209</v>
      </c>
      <c r="Y101" s="46"/>
      <c r="Z101" s="153" t="s">
        <v>225</v>
      </c>
      <c r="AA101" s="53"/>
      <c r="AB101" s="150" t="s">
        <v>107</v>
      </c>
      <c r="AC101" s="52"/>
    </row>
  </sheetData>
  <phoneticPr fontId="2" type="noConversion"/>
  <pageMargins left="0.1" right="0.1" top="0.25" bottom="0.25" header="0.5" footer="0.5"/>
  <pageSetup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B1:J5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32" sqref="B8:B32"/>
    </sheetView>
  </sheetViews>
  <sheetFormatPr defaultColWidth="60.125" defaultRowHeight="10.9" x14ac:dyDescent="0.2"/>
  <cols>
    <col min="1" max="1" width="1.625" style="78" customWidth="1"/>
    <col min="2" max="2" width="24" style="78" bestFit="1" customWidth="1"/>
    <col min="3" max="3" width="7.875" style="79" bestFit="1" customWidth="1"/>
    <col min="4" max="4" width="5.875" style="79" bestFit="1" customWidth="1"/>
    <col min="5" max="5" width="10.5" style="80" bestFit="1" customWidth="1"/>
    <col min="6" max="6" width="1.875" style="78" customWidth="1"/>
    <col min="7" max="7" width="22.625" style="78" bestFit="1" customWidth="1"/>
    <col min="8" max="8" width="7.875" style="78" bestFit="1" customWidth="1"/>
    <col min="9" max="9" width="5.875" style="78" bestFit="1" customWidth="1"/>
    <col min="10" max="10" width="10.5" style="78" bestFit="1" customWidth="1"/>
    <col min="11" max="11" width="2.125" style="78" customWidth="1"/>
    <col min="12" max="16384" width="60.125" style="78"/>
  </cols>
  <sheetData>
    <row r="1" spans="2:10" ht="11.55" thickBot="1" x14ac:dyDescent="0.25"/>
    <row r="2" spans="2:10" s="81" customFormat="1" ht="33.299999999999997" thickBot="1" x14ac:dyDescent="0.25">
      <c r="B2" s="1" t="s">
        <v>75</v>
      </c>
      <c r="C2" s="2" t="s">
        <v>76</v>
      </c>
      <c r="D2" s="2" t="s">
        <v>30</v>
      </c>
      <c r="E2" s="3" t="s">
        <v>74</v>
      </c>
      <c r="G2" s="1" t="s">
        <v>75</v>
      </c>
      <c r="H2" s="2" t="s">
        <v>76</v>
      </c>
      <c r="I2" s="2" t="s">
        <v>30</v>
      </c>
      <c r="J2" s="3" t="s">
        <v>74</v>
      </c>
    </row>
    <row r="3" spans="2:10" x14ac:dyDescent="0.2">
      <c r="B3" s="82" t="s">
        <v>96</v>
      </c>
      <c r="C3" s="83">
        <f>COUNTIF(Selections!$F$1:$AB$101,"Phil Mickelson")</f>
        <v>65</v>
      </c>
      <c r="D3" s="83" t="s">
        <v>25</v>
      </c>
      <c r="E3" s="84" t="s">
        <v>314</v>
      </c>
      <c r="G3" s="85" t="s">
        <v>164</v>
      </c>
      <c r="H3" s="86">
        <f>COUNTIF(Selections!$F$1:$AB$101,"Steve Marino")</f>
        <v>40</v>
      </c>
      <c r="I3" s="86" t="s">
        <v>24</v>
      </c>
      <c r="J3" s="87" t="s">
        <v>79</v>
      </c>
    </row>
    <row r="4" spans="2:10" x14ac:dyDescent="0.2">
      <c r="B4" s="88" t="s">
        <v>99</v>
      </c>
      <c r="C4" s="89">
        <f>COUNTIF(Selections!$F$1:$AB$101,"Tiger Woods")</f>
        <v>38</v>
      </c>
      <c r="D4" s="90" t="s">
        <v>25</v>
      </c>
      <c r="E4" s="91" t="s">
        <v>36</v>
      </c>
      <c r="G4" s="92" t="s">
        <v>166</v>
      </c>
      <c r="H4" s="93">
        <f>COUNTIF(Selections!$F$1:$AB$101,"Sean O'Hair")</f>
        <v>22</v>
      </c>
      <c r="I4" s="94" t="s">
        <v>24</v>
      </c>
      <c r="J4" s="95" t="s">
        <v>80</v>
      </c>
    </row>
    <row r="5" spans="2:10" x14ac:dyDescent="0.2">
      <c r="B5" s="88" t="s">
        <v>98</v>
      </c>
      <c r="C5" s="89">
        <f>COUNTIF(Selections!$F$1:$AB$101,"Lee Westwood")</f>
        <v>25</v>
      </c>
      <c r="D5" s="90" t="s">
        <v>25</v>
      </c>
      <c r="E5" s="91" t="s">
        <v>315</v>
      </c>
      <c r="G5" s="92" t="s">
        <v>176</v>
      </c>
      <c r="H5" s="93">
        <f>COUNTIF(Selections!$F$1:$AB$101,"Mark Wilson")</f>
        <v>18</v>
      </c>
      <c r="I5" s="94" t="s">
        <v>24</v>
      </c>
      <c r="J5" s="95" t="s">
        <v>81</v>
      </c>
    </row>
    <row r="6" spans="2:10" x14ac:dyDescent="0.2">
      <c r="B6" s="88" t="s">
        <v>93</v>
      </c>
      <c r="C6" s="89">
        <f>COUNTIF(Selections!$F$1:$AB$101,"Martin Kaymer")</f>
        <v>15</v>
      </c>
      <c r="D6" s="90" t="s">
        <v>25</v>
      </c>
      <c r="E6" s="91" t="s">
        <v>83</v>
      </c>
      <c r="G6" s="92" t="s">
        <v>177</v>
      </c>
      <c r="H6" s="93">
        <f>COUNTIF(Selections!$F$1:$AB$101,"Gary Woodland")</f>
        <v>19</v>
      </c>
      <c r="I6" s="94" t="s">
        <v>24</v>
      </c>
      <c r="J6" s="95" t="s">
        <v>310</v>
      </c>
    </row>
    <row r="7" spans="2:10" x14ac:dyDescent="0.2">
      <c r="B7" s="88" t="s">
        <v>92</v>
      </c>
      <c r="C7" s="89">
        <f>COUNTIF(Selections!$F$1:$AB$101,"Dustin Johnson")</f>
        <v>15</v>
      </c>
      <c r="D7" s="90" t="s">
        <v>25</v>
      </c>
      <c r="E7" s="91" t="s">
        <v>309</v>
      </c>
      <c r="G7" s="92" t="s">
        <v>171</v>
      </c>
      <c r="H7" s="93">
        <f>COUNTIF(Selections!$F$1:$AB$101,"Brandt Snedeker")</f>
        <v>15</v>
      </c>
      <c r="I7" s="94" t="s">
        <v>24</v>
      </c>
      <c r="J7" s="95" t="s">
        <v>310</v>
      </c>
    </row>
    <row r="8" spans="2:10" x14ac:dyDescent="0.2">
      <c r="B8" s="88" t="s">
        <v>95</v>
      </c>
      <c r="C8" s="89">
        <f>COUNTIF(Selections!$F$1:$AB$101,"Rory McIlroy")</f>
        <v>12</v>
      </c>
      <c r="D8" s="90" t="s">
        <v>25</v>
      </c>
      <c r="E8" s="91" t="s">
        <v>49</v>
      </c>
      <c r="G8" s="92" t="s">
        <v>168</v>
      </c>
      <c r="H8" s="93">
        <f>COUNTIF(Selections!$F$1:$AB$101,"Jeff Overton")</f>
        <v>10</v>
      </c>
      <c r="I8" s="94" t="s">
        <v>24</v>
      </c>
      <c r="J8" s="95" t="s">
        <v>317</v>
      </c>
    </row>
    <row r="9" spans="2:10" x14ac:dyDescent="0.2">
      <c r="B9" s="88" t="s">
        <v>89</v>
      </c>
      <c r="C9" s="89">
        <f>COUNTIF(Selections!$F$1:$AB$101,"Luke Donald")</f>
        <v>10</v>
      </c>
      <c r="D9" s="90" t="s">
        <v>25</v>
      </c>
      <c r="E9" s="91" t="s">
        <v>37</v>
      </c>
      <c r="G9" s="92" t="s">
        <v>172</v>
      </c>
      <c r="H9" s="93">
        <f>COUNTIF(Selections!$F$1:$AB$101,"Henrik Stenson")</f>
        <v>10</v>
      </c>
      <c r="I9" s="94" t="s">
        <v>24</v>
      </c>
      <c r="J9" s="95" t="s">
        <v>317</v>
      </c>
    </row>
    <row r="10" spans="2:10" x14ac:dyDescent="0.2">
      <c r="B10" s="88" t="s">
        <v>94</v>
      </c>
      <c r="C10" s="89">
        <f>COUNTIF(Selections!$F$1:$AB$101,"Graeme McDowell")</f>
        <v>6</v>
      </c>
      <c r="D10" s="90" t="s">
        <v>25</v>
      </c>
      <c r="E10" s="91" t="s">
        <v>313</v>
      </c>
      <c r="G10" s="92" t="s">
        <v>154</v>
      </c>
      <c r="H10" s="93">
        <f>COUNTIF(Selections!$F$1:$AB$101,"Jonathan Byrd")</f>
        <v>8</v>
      </c>
      <c r="I10" s="94" t="s">
        <v>24</v>
      </c>
      <c r="J10" s="95" t="s">
        <v>81</v>
      </c>
    </row>
    <row r="11" spans="2:10" x14ac:dyDescent="0.2">
      <c r="B11" s="88" t="s">
        <v>88</v>
      </c>
      <c r="C11" s="89">
        <f>COUNTIF(Selections!$F$1:$AB$101,"Paul Casey")</f>
        <v>6</v>
      </c>
      <c r="D11" s="90" t="s">
        <v>25</v>
      </c>
      <c r="E11" s="91" t="s">
        <v>312</v>
      </c>
      <c r="G11" s="92" t="s">
        <v>167</v>
      </c>
      <c r="H11" s="93">
        <f>COUNTIF(Selections!$F$1:$AB$101,"Louis Oosthuizen")</f>
        <v>8</v>
      </c>
      <c r="I11" s="94" t="s">
        <v>24</v>
      </c>
      <c r="J11" s="95" t="s">
        <v>39</v>
      </c>
    </row>
    <row r="12" spans="2:10" x14ac:dyDescent="0.2">
      <c r="B12" s="88" t="s">
        <v>97</v>
      </c>
      <c r="C12" s="89">
        <f>COUNTIF(Selections!$F$1:$AB$101,"Steve Stricker")</f>
        <v>5</v>
      </c>
      <c r="D12" s="90" t="s">
        <v>25</v>
      </c>
      <c r="E12" s="91" t="s">
        <v>42</v>
      </c>
      <c r="G12" s="92" t="s">
        <v>170</v>
      </c>
      <c r="H12" s="93">
        <f>COUNTIF(Selections!$F$1:$AB$101,"D. A. Points")</f>
        <v>8</v>
      </c>
      <c r="I12" s="94" t="s">
        <v>24</v>
      </c>
      <c r="J12" s="95" t="s">
        <v>311</v>
      </c>
    </row>
    <row r="13" spans="2:10" x14ac:dyDescent="0.2">
      <c r="B13" s="88" t="s">
        <v>90</v>
      </c>
      <c r="C13" s="89">
        <f>COUNTIF(Selections!$F$1:$AB$101,"Ernie Els")</f>
        <v>2</v>
      </c>
      <c r="D13" s="90" t="s">
        <v>25</v>
      </c>
      <c r="E13" s="91" t="s">
        <v>82</v>
      </c>
      <c r="G13" s="92" t="s">
        <v>175</v>
      </c>
      <c r="H13" s="93">
        <f>COUNTIF(Selections!$F$1:$AB$101,"Jhonattan Vegas")</f>
        <v>8</v>
      </c>
      <c r="I13" s="94" t="s">
        <v>24</v>
      </c>
      <c r="J13" s="95" t="s">
        <v>77</v>
      </c>
    </row>
    <row r="14" spans="2:10" ht="11.55" thickBot="1" x14ac:dyDescent="0.25">
      <c r="B14" s="96" t="s">
        <v>91</v>
      </c>
      <c r="C14" s="97">
        <f>COUNTIF(Selections!$F$1:$AB$101,"Jim Furyk")</f>
        <v>1</v>
      </c>
      <c r="D14" s="98" t="s">
        <v>25</v>
      </c>
      <c r="E14" s="99" t="s">
        <v>38</v>
      </c>
      <c r="G14" s="92" t="s">
        <v>156</v>
      </c>
      <c r="H14" s="93">
        <f>COUNTIF(Selections!$F$1:$AB$101,"Jason Day")</f>
        <v>6</v>
      </c>
      <c r="I14" s="94" t="s">
        <v>24</v>
      </c>
      <c r="J14" s="95" t="s">
        <v>310</v>
      </c>
    </row>
    <row r="15" spans="2:10" x14ac:dyDescent="0.2">
      <c r="B15" s="100" t="s">
        <v>150</v>
      </c>
      <c r="C15" s="101">
        <f>COUNTIF(Selections!$F$1:$AB$101,"Nick Watney")</f>
        <v>57</v>
      </c>
      <c r="D15" s="101" t="s">
        <v>27</v>
      </c>
      <c r="E15" s="102" t="s">
        <v>315</v>
      </c>
      <c r="G15" s="92" t="s">
        <v>165</v>
      </c>
      <c r="H15" s="93">
        <f>COUNTIF(Selections!$F$1:$AB$101,"Kevin Na")</f>
        <v>5</v>
      </c>
      <c r="I15" s="94" t="s">
        <v>24</v>
      </c>
      <c r="J15" s="95" t="s">
        <v>77</v>
      </c>
    </row>
    <row r="16" spans="2:10" x14ac:dyDescent="0.2">
      <c r="B16" s="103" t="s">
        <v>144</v>
      </c>
      <c r="C16" s="104">
        <f>COUNTIF(Selections!$F$1:$AB$101,"Matt Kuchar")</f>
        <v>34</v>
      </c>
      <c r="D16" s="105" t="s">
        <v>27</v>
      </c>
      <c r="E16" s="106" t="s">
        <v>312</v>
      </c>
      <c r="G16" s="92" t="s">
        <v>158</v>
      </c>
      <c r="H16" s="93">
        <f>COUNTIF(Selections!$F$1:$AB$101,"Anders Hansen")</f>
        <v>4</v>
      </c>
      <c r="I16" s="94" t="s">
        <v>24</v>
      </c>
      <c r="J16" s="95" t="s">
        <v>323</v>
      </c>
    </row>
    <row r="17" spans="2:10" x14ac:dyDescent="0.2">
      <c r="B17" s="103" t="s">
        <v>145</v>
      </c>
      <c r="C17" s="104">
        <f>COUNTIF(Selections!$F$1:$AB$101,"Hunter Mahan")</f>
        <v>32</v>
      </c>
      <c r="D17" s="105" t="s">
        <v>27</v>
      </c>
      <c r="E17" s="106" t="s">
        <v>84</v>
      </c>
      <c r="G17" s="92" t="s">
        <v>155</v>
      </c>
      <c r="H17" s="93">
        <f>COUNTIF(Selections!$F$1:$AB$101,"Alex Cejka")</f>
        <v>3</v>
      </c>
      <c r="I17" s="94" t="s">
        <v>24</v>
      </c>
      <c r="J17" s="95" t="s">
        <v>320</v>
      </c>
    </row>
    <row r="18" spans="2:10" x14ac:dyDescent="0.2">
      <c r="B18" s="103" t="s">
        <v>151</v>
      </c>
      <c r="C18" s="104">
        <f>COUNTIF(Selections!$F$1:$AB$101,"Bubba Watson")</f>
        <v>26</v>
      </c>
      <c r="D18" s="105" t="s">
        <v>27</v>
      </c>
      <c r="E18" s="106" t="s">
        <v>42</v>
      </c>
      <c r="G18" s="92" t="s">
        <v>159</v>
      </c>
      <c r="H18" s="93">
        <f>COUNTIF(Selections!$F$1:$AB$101,"Peter Hanson")</f>
        <v>3</v>
      </c>
      <c r="I18" s="94" t="s">
        <v>24</v>
      </c>
      <c r="J18" s="95" t="s">
        <v>317</v>
      </c>
    </row>
    <row r="19" spans="2:10" x14ac:dyDescent="0.2">
      <c r="B19" s="103" t="s">
        <v>148</v>
      </c>
      <c r="C19" s="104">
        <f>COUNTIF(Selections!$F$1:$AB$101,"Ian Poulter")</f>
        <v>12</v>
      </c>
      <c r="D19" s="105" t="s">
        <v>27</v>
      </c>
      <c r="E19" s="106" t="s">
        <v>41</v>
      </c>
      <c r="G19" s="92" t="s">
        <v>169</v>
      </c>
      <c r="H19" s="93">
        <f>COUNTIF(Selections!$F$1:$AB$101,"Carl Pettersson")</f>
        <v>3</v>
      </c>
      <c r="I19" s="94" t="s">
        <v>24</v>
      </c>
      <c r="J19" s="95" t="s">
        <v>311</v>
      </c>
    </row>
    <row r="20" spans="2:10" x14ac:dyDescent="0.2">
      <c r="B20" s="103" t="s">
        <v>139</v>
      </c>
      <c r="C20" s="104">
        <f>COUNTIF(Selections!$F$1:$AB$101,"Padraig Harrington")</f>
        <v>10</v>
      </c>
      <c r="D20" s="105" t="s">
        <v>27</v>
      </c>
      <c r="E20" s="106" t="s">
        <v>42</v>
      </c>
      <c r="G20" s="92" t="s">
        <v>174</v>
      </c>
      <c r="H20" s="93">
        <f>COUNTIF(Selections!$F$1:$AB$101,"Bo Van Pelt")</f>
        <v>3</v>
      </c>
      <c r="I20" s="94" t="s">
        <v>24</v>
      </c>
      <c r="J20" s="95" t="s">
        <v>317</v>
      </c>
    </row>
    <row r="21" spans="2:10" x14ac:dyDescent="0.2">
      <c r="B21" s="103" t="s">
        <v>142</v>
      </c>
      <c r="C21" s="104">
        <f>COUNTIF(Selections!$F$1:$AB$101,"Zach Johnson")</f>
        <v>5</v>
      </c>
      <c r="D21" s="105" t="s">
        <v>27</v>
      </c>
      <c r="E21" s="106" t="s">
        <v>79</v>
      </c>
      <c r="G21" s="92" t="s">
        <v>152</v>
      </c>
      <c r="H21" s="93">
        <f>COUNTIF(Selections!$F$1:$AB$101,"Arjun Atwal")</f>
        <v>2</v>
      </c>
      <c r="I21" s="94" t="s">
        <v>24</v>
      </c>
      <c r="J21" s="95" t="s">
        <v>321</v>
      </c>
    </row>
    <row r="22" spans="2:10" x14ac:dyDescent="0.2">
      <c r="B22" s="103" t="s">
        <v>149</v>
      </c>
      <c r="C22" s="104">
        <f>COUNTIF(Selections!$F$1:$AB$101,"Adam Scott")</f>
        <v>5</v>
      </c>
      <c r="D22" s="105" t="s">
        <v>27</v>
      </c>
      <c r="E22" s="106" t="s">
        <v>40</v>
      </c>
      <c r="G22" s="92" t="s">
        <v>162</v>
      </c>
      <c r="H22" s="93">
        <f>COUNTIF(Selections!$F$1:$AB$101,"Yuta Ikeda")</f>
        <v>2</v>
      </c>
      <c r="I22" s="94" t="s">
        <v>24</v>
      </c>
      <c r="J22" s="95" t="s">
        <v>322</v>
      </c>
    </row>
    <row r="23" spans="2:10" x14ac:dyDescent="0.2">
      <c r="B23" s="103" t="s">
        <v>136</v>
      </c>
      <c r="C23" s="104">
        <f>COUNTIF(Selections!$F$1:$AB$101,"Tim Clark")</f>
        <v>3</v>
      </c>
      <c r="D23" s="105" t="s">
        <v>27</v>
      </c>
      <c r="E23" s="106" t="s">
        <v>81</v>
      </c>
      <c r="G23" s="92" t="s">
        <v>161</v>
      </c>
      <c r="H23" s="93">
        <f>COUNTIF(Selections!$F$1:$AB$101,"Charley Hoffman")</f>
        <v>1</v>
      </c>
      <c r="I23" s="94" t="s">
        <v>24</v>
      </c>
      <c r="J23" s="95" t="s">
        <v>323</v>
      </c>
    </row>
    <row r="24" spans="2:10" x14ac:dyDescent="0.2">
      <c r="B24" s="103" t="s">
        <v>146</v>
      </c>
      <c r="C24" s="104">
        <f>COUNTIF(Selections!$F$1:$AB$101,"Francesco Molinari")</f>
        <v>3</v>
      </c>
      <c r="D24" s="105" t="s">
        <v>27</v>
      </c>
      <c r="E24" s="106" t="s">
        <v>318</v>
      </c>
      <c r="G24" s="92" t="s">
        <v>163</v>
      </c>
      <c r="H24" s="93">
        <f>COUNTIF(Selections!$F$1:$AB$101,"Kyung-Tae Kim")</f>
        <v>1</v>
      </c>
      <c r="I24" s="94" t="s">
        <v>24</v>
      </c>
      <c r="J24" s="95" t="s">
        <v>324</v>
      </c>
    </row>
    <row r="25" spans="2:10" x14ac:dyDescent="0.2">
      <c r="B25" s="103" t="s">
        <v>147</v>
      </c>
      <c r="C25" s="104">
        <f>COUNTIF(Selections!$F$1:$AB$101,"Geoff Ogilvy")</f>
        <v>3</v>
      </c>
      <c r="D25" s="105" t="s">
        <v>27</v>
      </c>
      <c r="E25" s="106" t="s">
        <v>38</v>
      </c>
      <c r="G25" s="92" t="s">
        <v>153</v>
      </c>
      <c r="H25" s="93">
        <f>COUNTIF(Selections!$F$1:$AB$101,"Jason Bohn")</f>
        <v>0</v>
      </c>
      <c r="I25" s="94" t="s">
        <v>24</v>
      </c>
      <c r="J25" s="95" t="s">
        <v>322</v>
      </c>
    </row>
    <row r="26" spans="2:10" x14ac:dyDescent="0.2">
      <c r="B26" s="103" t="s">
        <v>140</v>
      </c>
      <c r="C26" s="104">
        <f>COUNTIF(Selections!$F$1:$AB$101,"Trevor Immelman")</f>
        <v>2</v>
      </c>
      <c r="D26" s="105" t="s">
        <v>27</v>
      </c>
      <c r="E26" s="106" t="s">
        <v>40</v>
      </c>
      <c r="G26" s="92" t="s">
        <v>157</v>
      </c>
      <c r="H26" s="93">
        <f>COUNTIF(Selections!$F$1:$AB$101,"Hiroyuki Fujita")</f>
        <v>0</v>
      </c>
      <c r="I26" s="94" t="s">
        <v>24</v>
      </c>
      <c r="J26" s="95" t="s">
        <v>322</v>
      </c>
    </row>
    <row r="27" spans="2:10" x14ac:dyDescent="0.2">
      <c r="B27" s="103" t="s">
        <v>141</v>
      </c>
      <c r="C27" s="104">
        <f>COUNTIF(Selections!$F$1:$AB$101,"Miguel Angel Jimenez")</f>
        <v>2</v>
      </c>
      <c r="D27" s="105" t="s">
        <v>27</v>
      </c>
      <c r="E27" s="106" t="s">
        <v>317</v>
      </c>
      <c r="G27" s="92" t="s">
        <v>160</v>
      </c>
      <c r="H27" s="93">
        <f>COUNTIF(Selections!$F$1:$AB$101,"Gregory Havret")</f>
        <v>0</v>
      </c>
      <c r="I27" s="94" t="s">
        <v>24</v>
      </c>
      <c r="J27" s="95" t="s">
        <v>324</v>
      </c>
    </row>
    <row r="28" spans="2:10" ht="11.55" thickBot="1" x14ac:dyDescent="0.25">
      <c r="B28" s="103" t="s">
        <v>134</v>
      </c>
      <c r="C28" s="104">
        <f>COUNTIF(Selections!$F$1:$AB$101,"Robert Allenby")</f>
        <v>1</v>
      </c>
      <c r="D28" s="105" t="s">
        <v>27</v>
      </c>
      <c r="E28" s="106" t="s">
        <v>79</v>
      </c>
      <c r="G28" s="107" t="s">
        <v>173</v>
      </c>
      <c r="H28" s="108">
        <f>COUNTIF(Selections!$F$1:$AB$101,"Kevin Streelman")</f>
        <v>0</v>
      </c>
      <c r="I28" s="109" t="s">
        <v>24</v>
      </c>
      <c r="J28" s="110" t="s">
        <v>320</v>
      </c>
    </row>
    <row r="29" spans="2:10" x14ac:dyDescent="0.2">
      <c r="B29" s="103" t="s">
        <v>135</v>
      </c>
      <c r="C29" s="104">
        <f>COUNTIF(Selections!$F$1:$AB$101,"Stewart Cink")</f>
        <v>2</v>
      </c>
      <c r="D29" s="105" t="s">
        <v>27</v>
      </c>
      <c r="E29" s="106" t="s">
        <v>39</v>
      </c>
      <c r="G29" s="111" t="s">
        <v>178</v>
      </c>
      <c r="H29" s="112">
        <f>COUNTIF(Selections!$F$1:$AB$101,"Fred Couples")</f>
        <v>85</v>
      </c>
      <c r="I29" s="112" t="s">
        <v>26</v>
      </c>
      <c r="J29" s="113" t="s">
        <v>79</v>
      </c>
    </row>
    <row r="30" spans="2:10" x14ac:dyDescent="0.2">
      <c r="B30" s="103" t="s">
        <v>137</v>
      </c>
      <c r="C30" s="104">
        <f>COUNTIF(Selections!$F$1:$AB$101,"Sergio Garcia")</f>
        <v>1</v>
      </c>
      <c r="D30" s="105" t="s">
        <v>27</v>
      </c>
      <c r="E30" s="106" t="s">
        <v>316</v>
      </c>
      <c r="G30" s="114" t="s">
        <v>181</v>
      </c>
      <c r="H30" s="112">
        <f>COUNTIF(Selections!$F$1:$AB$101,"Davis Love")</f>
        <v>47</v>
      </c>
      <c r="I30" s="115" t="s">
        <v>26</v>
      </c>
      <c r="J30" s="116" t="s">
        <v>77</v>
      </c>
    </row>
    <row r="31" spans="2:10" x14ac:dyDescent="0.2">
      <c r="B31" s="103" t="s">
        <v>138</v>
      </c>
      <c r="C31" s="104">
        <f>COUNTIF(Selections!$F$1:$AB$101,"Retief Goosen")</f>
        <v>1</v>
      </c>
      <c r="D31" s="105" t="s">
        <v>27</v>
      </c>
      <c r="E31" s="106" t="s">
        <v>316</v>
      </c>
      <c r="G31" s="114" t="s">
        <v>188</v>
      </c>
      <c r="H31" s="112">
        <f>COUNTIF(Selections!$F$1:$AB$101,"Mike Weir")</f>
        <v>33</v>
      </c>
      <c r="I31" s="115" t="s">
        <v>26</v>
      </c>
      <c r="J31" s="116" t="s">
        <v>324</v>
      </c>
    </row>
    <row r="32" spans="2:10" ht="11.55" thickBot="1" x14ac:dyDescent="0.25">
      <c r="B32" s="117" t="s">
        <v>143</v>
      </c>
      <c r="C32" s="118">
        <f>COUNTIF(Selections!$F$1:$AB$101,"Robert Karlsson")</f>
        <v>1</v>
      </c>
      <c r="D32" s="119" t="s">
        <v>27</v>
      </c>
      <c r="E32" s="120" t="s">
        <v>310</v>
      </c>
      <c r="G32" s="114" t="s">
        <v>187</v>
      </c>
      <c r="H32" s="112">
        <f>COUNTIF(Selections!$F$1:$AB$101,"Tom Watson")</f>
        <v>13</v>
      </c>
      <c r="I32" s="115" t="s">
        <v>26</v>
      </c>
      <c r="J32" s="116" t="s">
        <v>330</v>
      </c>
    </row>
    <row r="33" spans="2:10" x14ac:dyDescent="0.2">
      <c r="B33" s="121" t="s">
        <v>120</v>
      </c>
      <c r="C33" s="122">
        <f>COUNTIF(Selections!$F$1:$AB$101,"Anthony Kim")</f>
        <v>38</v>
      </c>
      <c r="D33" s="122" t="s">
        <v>28</v>
      </c>
      <c r="E33" s="123" t="s">
        <v>42</v>
      </c>
      <c r="G33" s="114" t="s">
        <v>184</v>
      </c>
      <c r="H33" s="112">
        <f>COUNTIF(Selections!$F$1:$AB$101,"Mark O'Meara")</f>
        <v>10</v>
      </c>
      <c r="I33" s="115" t="s">
        <v>26</v>
      </c>
      <c r="J33" s="116" t="s">
        <v>325</v>
      </c>
    </row>
    <row r="34" spans="2:10" x14ac:dyDescent="0.2">
      <c r="B34" s="124" t="s">
        <v>126</v>
      </c>
      <c r="C34" s="125">
        <f>COUNTIF(Selections!$F$1:$AB$101,"Justin Rose")</f>
        <v>26</v>
      </c>
      <c r="D34" s="126" t="s">
        <v>28</v>
      </c>
      <c r="E34" s="127" t="s">
        <v>49</v>
      </c>
      <c r="G34" s="114" t="s">
        <v>185</v>
      </c>
      <c r="H34" s="112">
        <f>COUNTIF(Selections!$F$1:$AB$101,"Jose Maria Olazabal")</f>
        <v>7</v>
      </c>
      <c r="I34" s="115" t="s">
        <v>26</v>
      </c>
      <c r="J34" s="116" t="s">
        <v>322</v>
      </c>
    </row>
    <row r="35" spans="2:10" x14ac:dyDescent="0.2">
      <c r="B35" s="124" t="s">
        <v>115</v>
      </c>
      <c r="C35" s="125">
        <f>COUNTIF(Selections!$F$1:$AB$101,"Rickie Fowler")</f>
        <v>22</v>
      </c>
      <c r="D35" s="126" t="s">
        <v>28</v>
      </c>
      <c r="E35" s="127" t="s">
        <v>316</v>
      </c>
      <c r="G35" s="114" t="s">
        <v>189</v>
      </c>
      <c r="H35" s="112">
        <f>COUNTIF(Selections!$F$1:$AB$101,"Ian Woosnam")</f>
        <v>3</v>
      </c>
      <c r="I35" s="115" t="s">
        <v>26</v>
      </c>
      <c r="J35" s="116" t="s">
        <v>331</v>
      </c>
    </row>
    <row r="36" spans="2:10" x14ac:dyDescent="0.2">
      <c r="B36" s="124" t="s">
        <v>109</v>
      </c>
      <c r="C36" s="125">
        <f>COUNTIF(Selections!$F$1:$AB$101,"Aaron Baddeley")</f>
        <v>19</v>
      </c>
      <c r="D36" s="126" t="s">
        <v>28</v>
      </c>
      <c r="E36" s="127" t="s">
        <v>85</v>
      </c>
      <c r="G36" s="114" t="s">
        <v>179</v>
      </c>
      <c r="H36" s="112">
        <f>COUNTIF(Selections!$F$1:$AB$101,"Ben Crenshaw")</f>
        <v>1</v>
      </c>
      <c r="I36" s="115" t="s">
        <v>26</v>
      </c>
      <c r="J36" s="116" t="s">
        <v>325</v>
      </c>
    </row>
    <row r="37" spans="2:10" x14ac:dyDescent="0.2">
      <c r="B37" s="124" t="s">
        <v>112</v>
      </c>
      <c r="C37" s="125">
        <f>COUNTIF(Selections!$F$1:$AB$101,"K. J. Choi")</f>
        <v>16</v>
      </c>
      <c r="D37" s="126" t="s">
        <v>28</v>
      </c>
      <c r="E37" s="127" t="s">
        <v>38</v>
      </c>
      <c r="G37" s="114" t="s">
        <v>182</v>
      </c>
      <c r="H37" s="112">
        <f>COUNTIF(Selections!$F$1:$AB$101,"Sandy Lyle")</f>
        <v>1</v>
      </c>
      <c r="I37" s="115" t="s">
        <v>26</v>
      </c>
      <c r="J37" s="116" t="s">
        <v>327</v>
      </c>
    </row>
    <row r="38" spans="2:10" x14ac:dyDescent="0.2">
      <c r="B38" s="124" t="s">
        <v>121</v>
      </c>
      <c r="C38" s="125">
        <f>COUNTIF(Selections!$F$1:$AB$101,"Martin Laird")</f>
        <v>12</v>
      </c>
      <c r="D38" s="126" t="s">
        <v>28</v>
      </c>
      <c r="E38" s="127" t="s">
        <v>316</v>
      </c>
      <c r="G38" s="114" t="s">
        <v>180</v>
      </c>
      <c r="H38" s="112">
        <f>COUNTIF(Selections!$F$1:$AB$101,"Bernhard Langer")</f>
        <v>0</v>
      </c>
      <c r="I38" s="115" t="s">
        <v>26</v>
      </c>
      <c r="J38" s="116" t="s">
        <v>326</v>
      </c>
    </row>
    <row r="39" spans="2:10" x14ac:dyDescent="0.2">
      <c r="B39" s="124" t="s">
        <v>133</v>
      </c>
      <c r="C39" s="125">
        <f>COUNTIF(Selections!$F$1:$AB$101,"Y. E. Yang")</f>
        <v>11</v>
      </c>
      <c r="D39" s="126" t="s">
        <v>28</v>
      </c>
      <c r="E39" s="127" t="s">
        <v>78</v>
      </c>
      <c r="G39" s="114" t="s">
        <v>183</v>
      </c>
      <c r="H39" s="112">
        <f>COUNTIF(Selections!$F$1:$AB$101,"Larry Mize")</f>
        <v>0</v>
      </c>
      <c r="I39" s="115" t="s">
        <v>26</v>
      </c>
      <c r="J39" s="116" t="s">
        <v>328</v>
      </c>
    </row>
    <row r="40" spans="2:10" ht="11.55" thickBot="1" x14ac:dyDescent="0.25">
      <c r="B40" s="124" t="s">
        <v>123</v>
      </c>
      <c r="C40" s="125">
        <f>COUNTIF(Selections!$F$1:$AB$101,"Ryan Moore")</f>
        <v>8</v>
      </c>
      <c r="D40" s="126" t="s">
        <v>28</v>
      </c>
      <c r="E40" s="127" t="s">
        <v>316</v>
      </c>
      <c r="G40" s="128" t="s">
        <v>186</v>
      </c>
      <c r="H40" s="129">
        <f>COUNTIF(Selections!$F$1:$AB$101,"Craig Stadler")</f>
        <v>0</v>
      </c>
      <c r="I40" s="130" t="s">
        <v>26</v>
      </c>
      <c r="J40" s="131" t="s">
        <v>329</v>
      </c>
    </row>
    <row r="41" spans="2:10" x14ac:dyDescent="0.2">
      <c r="B41" s="124" t="s">
        <v>111</v>
      </c>
      <c r="C41" s="125">
        <f>COUNTIF(Selections!$F$1:$AB$101,"Angel Cabrera")</f>
        <v>6</v>
      </c>
      <c r="D41" s="126" t="s">
        <v>28</v>
      </c>
      <c r="E41" s="127" t="s">
        <v>310</v>
      </c>
      <c r="G41" s="132" t="s">
        <v>195</v>
      </c>
      <c r="H41" s="133">
        <f>COUNTIF(Selections!$F$1:$AB$101,"Peter Uihlein")</f>
        <v>67</v>
      </c>
      <c r="I41" s="133" t="s">
        <v>29</v>
      </c>
      <c r="J41" s="134" t="s">
        <v>321</v>
      </c>
    </row>
    <row r="42" spans="2:10" x14ac:dyDescent="0.2">
      <c r="B42" s="124" t="s">
        <v>128</v>
      </c>
      <c r="C42" s="125">
        <f>COUNTIF(Selections!$F$1:$AB$101,"Charl Schwartzel")</f>
        <v>6</v>
      </c>
      <c r="D42" s="126" t="s">
        <v>28</v>
      </c>
      <c r="E42" s="127" t="s">
        <v>39</v>
      </c>
      <c r="G42" s="135" t="s">
        <v>190</v>
      </c>
      <c r="H42" s="136">
        <f>COUNTIF(Selections!$F$1:$AB$101,"David Chung")</f>
        <v>32</v>
      </c>
      <c r="I42" s="137" t="s">
        <v>29</v>
      </c>
      <c r="J42" s="138" t="s">
        <v>330</v>
      </c>
    </row>
    <row r="43" spans="2:10" x14ac:dyDescent="0.2">
      <c r="B43" s="124" t="s">
        <v>110</v>
      </c>
      <c r="C43" s="125">
        <f>COUNTIF(Selections!$F$1:$AB$101,"Ricky Barnes")</f>
        <v>5</v>
      </c>
      <c r="D43" s="126" t="s">
        <v>28</v>
      </c>
      <c r="E43" s="127" t="s">
        <v>317</v>
      </c>
      <c r="G43" s="135" t="s">
        <v>194</v>
      </c>
      <c r="H43" s="136">
        <f>COUNTIF(Selections!$F$1:$AB$101,"Nathan Smith")</f>
        <v>32</v>
      </c>
      <c r="I43" s="137" t="s">
        <v>29</v>
      </c>
      <c r="J43" s="138" t="s">
        <v>321</v>
      </c>
    </row>
    <row r="44" spans="2:10" x14ac:dyDescent="0.2">
      <c r="B44" s="124" t="s">
        <v>129</v>
      </c>
      <c r="C44" s="125">
        <f>COUNTIF(Selections!$F$1:$AB$101,"Vijay Singh")</f>
        <v>5</v>
      </c>
      <c r="D44" s="126" t="s">
        <v>28</v>
      </c>
      <c r="E44" s="127" t="s">
        <v>40</v>
      </c>
      <c r="G44" s="135" t="s">
        <v>192</v>
      </c>
      <c r="H44" s="136">
        <f>COUNTIF(Selections!$F$1:$AB$101,"Lion Kim")</f>
        <v>27</v>
      </c>
      <c r="I44" s="137" t="s">
        <v>29</v>
      </c>
      <c r="J44" s="138" t="s">
        <v>327</v>
      </c>
    </row>
    <row r="45" spans="2:10" x14ac:dyDescent="0.2">
      <c r="B45" s="124" t="s">
        <v>131</v>
      </c>
      <c r="C45" s="125">
        <f>COUNTIF(Selections!$F$1:$AB$101,"David Toms")</f>
        <v>5</v>
      </c>
      <c r="D45" s="126" t="s">
        <v>28</v>
      </c>
      <c r="E45" s="127" t="s">
        <v>310</v>
      </c>
      <c r="G45" s="135" t="s">
        <v>191</v>
      </c>
      <c r="H45" s="136">
        <f>COUNTIF(Selections!$F$1:$AB$101,"Jim Jeong")</f>
        <v>22</v>
      </c>
      <c r="I45" s="137" t="s">
        <v>29</v>
      </c>
      <c r="J45" s="138" t="s">
        <v>328</v>
      </c>
    </row>
    <row r="46" spans="2:10" ht="11.55" thickBot="1" x14ac:dyDescent="0.25">
      <c r="B46" s="124" t="s">
        <v>108</v>
      </c>
      <c r="C46" s="125">
        <f>COUNTIF(Selections!$F$1:$AB$101,"Stuart Appleby")</f>
        <v>4</v>
      </c>
      <c r="D46" s="126" t="s">
        <v>28</v>
      </c>
      <c r="E46" s="127" t="s">
        <v>317</v>
      </c>
      <c r="G46" s="139" t="s">
        <v>193</v>
      </c>
      <c r="H46" s="140">
        <f>COUNTIF(Selections!$F$1:$AB$101,"Hideki Matsuyama")</f>
        <v>19</v>
      </c>
      <c r="I46" s="141" t="s">
        <v>29</v>
      </c>
      <c r="J46" s="142" t="s">
        <v>330</v>
      </c>
    </row>
    <row r="47" spans="2:10" x14ac:dyDescent="0.2">
      <c r="B47" s="124" t="s">
        <v>116</v>
      </c>
      <c r="C47" s="125">
        <f>COUNTIF(Selections!$F$1:$AB$101,"Lucas Glover")</f>
        <v>3</v>
      </c>
      <c r="D47" s="126" t="s">
        <v>28</v>
      </c>
      <c r="E47" s="127" t="s">
        <v>77</v>
      </c>
    </row>
    <row r="48" spans="2:10" x14ac:dyDescent="0.2">
      <c r="B48" s="124" t="s">
        <v>122</v>
      </c>
      <c r="C48" s="125">
        <f>COUNTIF(Selections!$F$1:$AB$101,"Eduardo Molinari")</f>
        <v>3</v>
      </c>
      <c r="D48" s="126" t="s">
        <v>28</v>
      </c>
      <c r="E48" s="127" t="s">
        <v>310</v>
      </c>
    </row>
    <row r="49" spans="2:5" x14ac:dyDescent="0.2">
      <c r="B49" s="124" t="s">
        <v>127</v>
      </c>
      <c r="C49" s="125">
        <f>COUNTIF(Selections!$F$1:$AB$101,"Rory Sabbatini")</f>
        <v>3</v>
      </c>
      <c r="D49" s="126" t="s">
        <v>28</v>
      </c>
      <c r="E49" s="127" t="s">
        <v>78</v>
      </c>
    </row>
    <row r="50" spans="2:5" x14ac:dyDescent="0.2">
      <c r="B50" s="124" t="s">
        <v>125</v>
      </c>
      <c r="C50" s="125">
        <f>COUNTIF(Selections!$F$1:$AB$101,"Alvaro Quiros")</f>
        <v>2</v>
      </c>
      <c r="D50" s="126" t="s">
        <v>28</v>
      </c>
      <c r="E50" s="127" t="s">
        <v>79</v>
      </c>
    </row>
    <row r="51" spans="2:5" x14ac:dyDescent="0.2">
      <c r="B51" s="124" t="s">
        <v>130</v>
      </c>
      <c r="C51" s="125">
        <f>COUNTIF(Selections!$F$1:$AB$101,"Heath Slocum")</f>
        <v>2</v>
      </c>
      <c r="D51" s="126" t="s">
        <v>28</v>
      </c>
      <c r="E51" s="127" t="s">
        <v>320</v>
      </c>
    </row>
    <row r="52" spans="2:5" x14ac:dyDescent="0.2">
      <c r="B52" s="124" t="s">
        <v>132</v>
      </c>
      <c r="C52" s="125">
        <f>COUNTIF(Selections!$F$1:$AB$101,"Camillo Villegas")</f>
        <v>2</v>
      </c>
      <c r="D52" s="126" t="s">
        <v>28</v>
      </c>
      <c r="E52" s="127" t="s">
        <v>79</v>
      </c>
    </row>
    <row r="53" spans="2:5" x14ac:dyDescent="0.2">
      <c r="B53" s="124" t="s">
        <v>117</v>
      </c>
      <c r="C53" s="125">
        <f>COUNTIF(Selections!$F$1:$AB$101,"Bill Haas")</f>
        <v>1</v>
      </c>
      <c r="D53" s="126" t="s">
        <v>28</v>
      </c>
      <c r="E53" s="127" t="s">
        <v>39</v>
      </c>
    </row>
    <row r="54" spans="2:5" x14ac:dyDescent="0.2">
      <c r="B54" s="124" t="s">
        <v>118</v>
      </c>
      <c r="C54" s="125">
        <f>COUNTIF(Selections!$F$1:$AB$101,"Ryo Ishikawa")</f>
        <v>1</v>
      </c>
      <c r="D54" s="126" t="s">
        <v>28</v>
      </c>
      <c r="E54" s="127" t="s">
        <v>319</v>
      </c>
    </row>
    <row r="55" spans="2:5" x14ac:dyDescent="0.2">
      <c r="B55" s="124" t="s">
        <v>113</v>
      </c>
      <c r="C55" s="125">
        <f>COUNTIF(Selections!$F$1:$AB$101,"Ben Crane")</f>
        <v>0</v>
      </c>
      <c r="D55" s="126" t="s">
        <v>28</v>
      </c>
      <c r="E55" s="127" t="s">
        <v>310</v>
      </c>
    </row>
    <row r="56" spans="2:5" x14ac:dyDescent="0.2">
      <c r="B56" s="124" t="s">
        <v>114</v>
      </c>
      <c r="C56" s="125">
        <f>COUNTIF(Selections!$F$1:$AB$101,"Ross Fisher")</f>
        <v>0</v>
      </c>
      <c r="D56" s="126" t="s">
        <v>28</v>
      </c>
      <c r="E56" s="127" t="s">
        <v>80</v>
      </c>
    </row>
    <row r="57" spans="2:5" x14ac:dyDescent="0.2">
      <c r="B57" s="124" t="s">
        <v>119</v>
      </c>
      <c r="C57" s="125">
        <f>COUNTIF(Selections!$F$1:$AB$101,"Jerry Kelly")</f>
        <v>0</v>
      </c>
      <c r="D57" s="126" t="s">
        <v>28</v>
      </c>
      <c r="E57" s="127" t="s">
        <v>77</v>
      </c>
    </row>
    <row r="58" spans="2:5" ht="11.55" thickBot="1" x14ac:dyDescent="0.25">
      <c r="B58" s="143" t="s">
        <v>124</v>
      </c>
      <c r="C58" s="144">
        <f>COUNTIF(Selections!$F$1:$AB$101,"Ryan Palmer")</f>
        <v>0</v>
      </c>
      <c r="D58" s="145" t="s">
        <v>28</v>
      </c>
      <c r="E58" s="146" t="s">
        <v>77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Selections</vt:lpstr>
      <vt:lpstr>Totals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2011-04-06T06:29:04Z</cp:lastPrinted>
  <dcterms:created xsi:type="dcterms:W3CDTF">2007-03-20T03:18:45Z</dcterms:created>
  <dcterms:modified xsi:type="dcterms:W3CDTF">2019-11-11T05:44:39Z</dcterms:modified>
</cp:coreProperties>
</file>