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0"/>
  </bookViews>
  <sheets>
    <sheet name="Selections" sheetId="1" r:id="rId1"/>
    <sheet name="Totals" sheetId="2" r:id="rId2"/>
  </sheets>
  <definedNames>
    <definedName name="_xlnm._FilterDatabase" localSheetId="0" hidden="1">'Selections'!$A$1:$Z$77</definedName>
    <definedName name="OLE_LINK1" localSheetId="0">'Selections'!$B$19</definedName>
  </definedNames>
  <calcPr fullCalcOnLoad="1"/>
</workbook>
</file>

<file path=xl/sharedStrings.xml><?xml version="1.0" encoding="utf-8"?>
<sst xmlns="http://schemas.openxmlformats.org/spreadsheetml/2006/main" count="1329" uniqueCount="347">
  <si>
    <t>Mike Kraemer 1</t>
  </si>
  <si>
    <t>Mike Kraemer 2</t>
  </si>
  <si>
    <t>Mike Kraemer 3</t>
  </si>
  <si>
    <t>Mike Kraemer 4</t>
  </si>
  <si>
    <t>Mike Kraemer 5</t>
  </si>
  <si>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</si>
  <si>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</si>
  <si>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</si>
  <si>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</si>
  <si>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</si>
  <si>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</si>
  <si>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</si>
  <si>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</si>
  <si>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</si>
  <si>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</si>
  <si>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</si>
  <si>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</si>
  <si>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</si>
  <si>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</si>
  <si>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</si>
  <si>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</si>
  <si>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Money Won</t>
  </si>
  <si>
    <t>Group E.1</t>
  </si>
  <si>
    <t>Group E.1 $</t>
  </si>
  <si>
    <t>Group E.2 $</t>
  </si>
  <si>
    <t>Group F.1 $</t>
  </si>
  <si>
    <t>Group E.2</t>
  </si>
  <si>
    <t>Group F.1</t>
  </si>
  <si>
    <t>Name</t>
  </si>
  <si>
    <t xml:space="preserve">Robert Allenby </t>
  </si>
  <si>
    <t xml:space="preserve">Stephen Ames </t>
  </si>
  <si>
    <t xml:space="preserve">Stuart Appleby </t>
  </si>
  <si>
    <t xml:space="preserve">Michael Campbell </t>
  </si>
  <si>
    <t xml:space="preserve">Paul Casey </t>
  </si>
  <si>
    <t xml:space="preserve">Stewart Cink </t>
  </si>
  <si>
    <t xml:space="preserve">Tim Clark </t>
  </si>
  <si>
    <t xml:space="preserve">Fred Couples </t>
  </si>
  <si>
    <t xml:space="preserve">Ben Crenshaw </t>
  </si>
  <si>
    <t xml:space="preserve">Ben Curtis </t>
  </si>
  <si>
    <t xml:space="preserve">Luke Donald </t>
  </si>
  <si>
    <t xml:space="preserve">Ernie Els </t>
  </si>
  <si>
    <t xml:space="preserve">Niclas Fasth </t>
  </si>
  <si>
    <t xml:space="preserve">Raymond Floyd </t>
  </si>
  <si>
    <t xml:space="preserve">Jim Furyk </t>
  </si>
  <si>
    <t xml:space="preserve">Sergio Garcia </t>
  </si>
  <si>
    <t xml:space="preserve">Retief Goosen </t>
  </si>
  <si>
    <t xml:space="preserve">Todd Hamilton </t>
  </si>
  <si>
    <t xml:space="preserve">Padraig Harrington </t>
  </si>
  <si>
    <t xml:space="preserve">Trevor Immelman </t>
  </si>
  <si>
    <t xml:space="preserve">Zach Johnson </t>
  </si>
  <si>
    <t xml:space="preserve">Shingo Katayama </t>
  </si>
  <si>
    <t xml:space="preserve">Jerry Kelly </t>
  </si>
  <si>
    <t xml:space="preserve">Bernhard Langer </t>
  </si>
  <si>
    <t xml:space="preserve">Sandy Lyle </t>
  </si>
  <si>
    <t xml:space="preserve">Shaun Micheel </t>
  </si>
  <si>
    <t xml:space="preserve">Phil Mickelson </t>
  </si>
  <si>
    <t xml:space="preserve">Larry Mize </t>
  </si>
  <si>
    <t xml:space="preserve">Arron Oberholser </t>
  </si>
  <si>
    <t xml:space="preserve">Geoff Ogilvy </t>
  </si>
  <si>
    <t xml:space="preserve">Nick O'Hern </t>
  </si>
  <si>
    <t xml:space="preserve">Jose Maria Olazabal </t>
  </si>
  <si>
    <t xml:space="preserve">Mark O'Meara </t>
  </si>
  <si>
    <t xml:space="preserve">Gary Player </t>
  </si>
  <si>
    <t xml:space="preserve">Ian Poulter </t>
  </si>
  <si>
    <t xml:space="preserve">Rory Sabbatini </t>
  </si>
  <si>
    <t xml:space="preserve">Adam Scott </t>
  </si>
  <si>
    <t xml:space="preserve">Vijay Singh </t>
  </si>
  <si>
    <t xml:space="preserve">Craig Stadler </t>
  </si>
  <si>
    <t xml:space="preserve">Henrik Stenson </t>
  </si>
  <si>
    <t xml:space="preserve">Steve Stricker </t>
  </si>
  <si>
    <t xml:space="preserve">Vaughn Taylor </t>
  </si>
  <si>
    <t xml:space="preserve">David Toms </t>
  </si>
  <si>
    <t xml:space="preserve">Scott Verplank </t>
  </si>
  <si>
    <t xml:space="preserve">Tom Watson </t>
  </si>
  <si>
    <t xml:space="preserve">Mike Weir </t>
  </si>
  <si>
    <t xml:space="preserve">Lee Westwood </t>
  </si>
  <si>
    <t xml:space="preserve">Tiger Woods </t>
  </si>
  <si>
    <t xml:space="preserve">Ian Woosnam </t>
  </si>
  <si>
    <t xml:space="preserve">Fuzzy Zoeller </t>
  </si>
  <si>
    <t xml:space="preserve">Robert Karlsson </t>
  </si>
  <si>
    <t xml:space="preserve">Jeev Milkha Singh </t>
  </si>
  <si>
    <t xml:space="preserve">Brett Wetterich </t>
  </si>
  <si>
    <t>Number</t>
  </si>
  <si>
    <t xml:space="preserve">Miguel Jimenez </t>
  </si>
  <si>
    <t>K.J. Choi</t>
  </si>
  <si>
    <t>Mike Kraemer 6</t>
  </si>
  <si>
    <t>Mike Kraemer 7</t>
  </si>
  <si>
    <t>E-Mail</t>
  </si>
  <si>
    <t>Who collects?</t>
  </si>
  <si>
    <t>Dave Valento</t>
  </si>
  <si>
    <t>David_Valento@Dell.Com</t>
  </si>
  <si>
    <t>Jason Dario</t>
  </si>
  <si>
    <t>Jim Furyk</t>
  </si>
  <si>
    <t>Vijay Singh</t>
  </si>
  <si>
    <t>Jose Maria Olazabal</t>
  </si>
  <si>
    <t>Angel Cabrerra</t>
  </si>
  <si>
    <t>Michael Campbell</t>
  </si>
  <si>
    <t>Henrik Stenson</t>
  </si>
  <si>
    <t>Ian Woosnam</t>
  </si>
  <si>
    <t xml:space="preserve">Angel Cabrerra </t>
  </si>
  <si>
    <t>Phil Mickelson</t>
  </si>
  <si>
    <t>Charles Howell</t>
  </si>
  <si>
    <t>Miguel Jimenez</t>
  </si>
  <si>
    <t>Rory Sabbatini</t>
  </si>
  <si>
    <t>Camilo Villegas</t>
  </si>
  <si>
    <t>Zach Johnson</t>
  </si>
  <si>
    <t>Tiger Woods</t>
  </si>
  <si>
    <t>Tom Watson</t>
  </si>
  <si>
    <t>Stuart Appleby</t>
  </si>
  <si>
    <t>Geoff Ogilvy</t>
  </si>
  <si>
    <t>Robert Allenby</t>
  </si>
  <si>
    <t>Trevor Immelman</t>
  </si>
  <si>
    <t>Tim Clark</t>
  </si>
  <si>
    <t>Tom Perrault</t>
  </si>
  <si>
    <t>Luke Donald</t>
  </si>
  <si>
    <t>Ian Poulter</t>
  </si>
  <si>
    <t>Fuzzy Zoeller</t>
  </si>
  <si>
    <t>Adam Scott</t>
  </si>
  <si>
    <t>Stephen Johnson</t>
  </si>
  <si>
    <t>Shaun Micheel</t>
  </si>
  <si>
    <t>Paul Casey</t>
  </si>
  <si>
    <t>Robert Karlsson</t>
  </si>
  <si>
    <t>Jeev Milkha Singh</t>
  </si>
  <si>
    <t>Stewart Cink</t>
  </si>
  <si>
    <t>Shingo Katayama</t>
  </si>
  <si>
    <t>Aaron Oberholser</t>
  </si>
  <si>
    <t>Aaron Baddeley</t>
  </si>
  <si>
    <t>Niclas Fasth</t>
  </si>
  <si>
    <t>John Rollins</t>
  </si>
  <si>
    <t>Nick O'Hern</t>
  </si>
  <si>
    <t>Fred Couples</t>
  </si>
  <si>
    <t>Stephen Ames</t>
  </si>
  <si>
    <t>rsavelkoul@felhaber.com</t>
  </si>
  <si>
    <t>Mark Wientjes</t>
  </si>
  <si>
    <t>Mark_Wientjes@dell.com</t>
  </si>
  <si>
    <t>Sergio Garcia</t>
  </si>
  <si>
    <t>Craig Johnson</t>
  </si>
  <si>
    <t>Padraig Harrington</t>
  </si>
  <si>
    <t>wens0021@umn.edu</t>
  </si>
  <si>
    <t>Ryan Wensmann</t>
  </si>
  <si>
    <t>Jim Tollefsbol</t>
  </si>
  <si>
    <t>Retief Goosen</t>
  </si>
  <si>
    <t>Jacob Fick</t>
  </si>
  <si>
    <t>Ernie Els</t>
  </si>
  <si>
    <t>Blake Bohn</t>
  </si>
  <si>
    <t>Justin Rose</t>
  </si>
  <si>
    <t>Adam Rutzick</t>
  </si>
  <si>
    <t>Chieflit@aol.com</t>
  </si>
  <si>
    <t>Bernhard Langer</t>
  </si>
  <si>
    <t>Lou Schaefer</t>
  </si>
  <si>
    <t>Mark Calcavecchia</t>
  </si>
  <si>
    <t>Brett Wetterich</t>
  </si>
  <si>
    <t>Vaughn Taylor</t>
  </si>
  <si>
    <t>Todd Hamilton</t>
  </si>
  <si>
    <t>Steve Wensmann</t>
  </si>
  <si>
    <t>Buck Haugen</t>
  </si>
  <si>
    <t>BPHaugen@aol.com</t>
  </si>
  <si>
    <t>David Toms</t>
  </si>
  <si>
    <t>Scott Verplank</t>
  </si>
  <si>
    <t>Sandy Hoffman</t>
  </si>
  <si>
    <t>kiwistateside@hotmail.com</t>
  </si>
  <si>
    <t>MTollefsbol.davisassoc@Lighting.net</t>
  </si>
  <si>
    <t>Lucas Kanavati</t>
  </si>
  <si>
    <t>Tom Buslee</t>
  </si>
  <si>
    <t>Tom.Buslee@traditionllc.com</t>
  </si>
  <si>
    <t>Nick Dario</t>
  </si>
  <si>
    <t>Mel Dario</t>
  </si>
  <si>
    <t>Mark O'Meara</t>
  </si>
  <si>
    <t>Tom Nast</t>
  </si>
  <si>
    <t>Tnast@traditionllc.com</t>
  </si>
  <si>
    <t>Jerry Kelly</t>
  </si>
  <si>
    <t>Steve Stricker</t>
  </si>
  <si>
    <t>D</t>
  </si>
  <si>
    <t>A</t>
  </si>
  <si>
    <t>E</t>
  </si>
  <si>
    <t>B</t>
  </si>
  <si>
    <t>C</t>
  </si>
  <si>
    <t>F</t>
  </si>
  <si>
    <t>Jon Hankes</t>
  </si>
  <si>
    <t>jonhankes@hotmail.com</t>
  </si>
  <si>
    <t>Group</t>
  </si>
  <si>
    <t>Participant</t>
  </si>
  <si>
    <t>Justin Leonard</t>
  </si>
  <si>
    <t>Bubba Watson</t>
  </si>
  <si>
    <t>Jonathon Byrd</t>
  </si>
  <si>
    <t>J. B. Holmes</t>
  </si>
  <si>
    <t>Peter Lonard</t>
  </si>
  <si>
    <t>Hunter Mahan</t>
  </si>
  <si>
    <t>Woody Austin</t>
  </si>
  <si>
    <t>Brian Bateman</t>
  </si>
  <si>
    <t>Boo Weekley</t>
  </si>
  <si>
    <t>Daniel Chopra</t>
  </si>
  <si>
    <t>Nick Dougherty</t>
  </si>
  <si>
    <t>Steve Flesch</t>
  </si>
  <si>
    <t>Richard Green</t>
  </si>
  <si>
    <t>Anders Hansen</t>
  </si>
  <si>
    <t>Soren Hansen</t>
  </si>
  <si>
    <t>Martin Kaymer</t>
  </si>
  <si>
    <t>Steve Lowery</t>
  </si>
  <si>
    <t>Nick Watney</t>
  </si>
  <si>
    <t>Prayad Marksaeng</t>
  </si>
  <si>
    <t>Sean O'Hair</t>
  </si>
  <si>
    <t>Lian Wen-Chong</t>
  </si>
  <si>
    <t>Anders Romero</t>
  </si>
  <si>
    <t>John Senden</t>
  </si>
  <si>
    <t>Heath Slocum</t>
  </si>
  <si>
    <t>Brandt Snedeker</t>
  </si>
  <si>
    <t>Richard Steme</t>
  </si>
  <si>
    <t>Toru Taniguchi</t>
  </si>
  <si>
    <t>D. J. Trahan</t>
  </si>
  <si>
    <t>Drew Weaver</t>
  </si>
  <si>
    <t>Michael Thompson</t>
  </si>
  <si>
    <t>Trip Kuehne</t>
  </si>
  <si>
    <t>Jason Davis 1</t>
  </si>
  <si>
    <t>Jason Davis 2</t>
  </si>
  <si>
    <t>JMDavis.Davisassoc@lighting.net</t>
  </si>
  <si>
    <t>Larry Mize</t>
  </si>
  <si>
    <t>Sean Stinnett</t>
  </si>
  <si>
    <t>seanstinnett@yahoo.com</t>
  </si>
  <si>
    <t>Tom Williams</t>
  </si>
  <si>
    <t>Williams.ts@Comcast.net</t>
  </si>
  <si>
    <t>denniscapbain@aol.com</t>
  </si>
  <si>
    <t>Dennis Bain</t>
  </si>
  <si>
    <t>Dave Valento 1</t>
  </si>
  <si>
    <t>Dave Valento 2</t>
  </si>
  <si>
    <t>Dave Valento 3</t>
  </si>
  <si>
    <t>Steve Thompson</t>
  </si>
  <si>
    <t>UASTCAT@Aol.com</t>
  </si>
  <si>
    <t>prathmanner@nexuspointmortgage.com</t>
  </si>
  <si>
    <t>Peter Rathmanner</t>
  </si>
  <si>
    <t>Judy Perrault</t>
  </si>
  <si>
    <t>Perrault@aol.com</t>
  </si>
  <si>
    <t>Jay_schneck@symantec.com</t>
  </si>
  <si>
    <t>Jay Schneck</t>
  </si>
  <si>
    <t>Rich Savelkoul 1</t>
  </si>
  <si>
    <t>Rich Savelkoul 2</t>
  </si>
  <si>
    <t>Jeff Rothmund</t>
  </si>
  <si>
    <t>Jeffrey.j.rothmund@medtronic.com</t>
  </si>
  <si>
    <t>greg.ettinger2@wellsfargo.com</t>
  </si>
  <si>
    <t>Greg Ettinger</t>
  </si>
  <si>
    <t>Jtozzy@Comcast.Net</t>
  </si>
  <si>
    <t>Mark Tollefsbol</t>
  </si>
  <si>
    <t>Tom Uebel</t>
  </si>
  <si>
    <t>Tuebel@live.com</t>
  </si>
  <si>
    <t>Brendan O'Neill</t>
  </si>
  <si>
    <t>Brendan_oneill@symantec.com</t>
  </si>
  <si>
    <t>hecksel@charter.net</t>
  </si>
  <si>
    <t>Joshua Hecksel</t>
  </si>
  <si>
    <t>Jb_herman@symantec.com</t>
  </si>
  <si>
    <t>Jim Herman</t>
  </si>
  <si>
    <t>Mike.Kraemer@mgkllc.com</t>
  </si>
  <si>
    <t>Steve Christianson</t>
  </si>
  <si>
    <t>schristianson@a-p.com</t>
  </si>
  <si>
    <t>MelDario1@yahoo.com</t>
  </si>
  <si>
    <t>Twensmann@Wensmann.Com</t>
  </si>
  <si>
    <t>Terry Wensmann 1</t>
  </si>
  <si>
    <t>Terry Wensmann 2</t>
  </si>
  <si>
    <t>jacob.fick@traditionllc.com</t>
  </si>
  <si>
    <t>Jason.dario@traditionllc.com</t>
  </si>
  <si>
    <t>Stephen.Johnson@Rollouts.com</t>
  </si>
  <si>
    <t>junklesbay@minnmortgage.com</t>
  </si>
  <si>
    <t>Jesse Unklesbay</t>
  </si>
  <si>
    <t>Tom Mattiani</t>
  </si>
  <si>
    <t>Paul Lindstrom 1</t>
  </si>
  <si>
    <t>Paul Lindstrom 2</t>
  </si>
  <si>
    <t>Peterkraker@netscape.net</t>
  </si>
  <si>
    <t>Peter Kraker 1</t>
  </si>
  <si>
    <t>Peter Kraker 2</t>
  </si>
  <si>
    <t>Paul Lindstrom 3</t>
  </si>
  <si>
    <t>Jack Stassen</t>
  </si>
  <si>
    <t>JWilly34@yahoo.com</t>
  </si>
  <si>
    <t>Sandy Stassen</t>
  </si>
  <si>
    <t>Sandystassen@yahoo.com</t>
  </si>
  <si>
    <t>Sarah Rutzik</t>
  </si>
  <si>
    <t>Stevenrutziklaw@comcast.net</t>
  </si>
  <si>
    <t>pal@lloonline.com</t>
  </si>
  <si>
    <t>Tom Matiani</t>
  </si>
  <si>
    <t>tomm@marketplacehome.com</t>
  </si>
  <si>
    <t>craig.johnson@lfg.com</t>
  </si>
  <si>
    <t>Craig Mulcahy</t>
  </si>
  <si>
    <t>cmulcahy@mucr.com</t>
  </si>
  <si>
    <t>Steve Willard</t>
  </si>
  <si>
    <t>SteveW@Nasseff.com</t>
  </si>
  <si>
    <t>Bob Lawrence</t>
  </si>
  <si>
    <t>BobL@Nasseff.com</t>
  </si>
  <si>
    <t>Jeff Ulrich</t>
  </si>
  <si>
    <t>JeffU@Nasseff.com</t>
  </si>
  <si>
    <t>Brian Call</t>
  </si>
  <si>
    <t>Brian.Call@traditionllc.com</t>
  </si>
  <si>
    <t>Dave Hintermeister</t>
  </si>
  <si>
    <t>dlhint@marketplace.com</t>
  </si>
  <si>
    <t>Tmiernicki@comcast.net</t>
  </si>
  <si>
    <t>Tony Miernicki 1</t>
  </si>
  <si>
    <t>Tony Miernicki 2</t>
  </si>
  <si>
    <t>Mark Heller</t>
  </si>
  <si>
    <t>Spark14@comcast.net</t>
  </si>
  <si>
    <t>Bruce_Wojack@ml.com</t>
  </si>
  <si>
    <t>Bruce Wojack</t>
  </si>
  <si>
    <t>Mira Young 1</t>
  </si>
  <si>
    <t>Mira Young 2</t>
  </si>
  <si>
    <t>LouSchaefer@hotmail.com</t>
  </si>
  <si>
    <t>Steven Rutzick</t>
  </si>
  <si>
    <t>Srutzick@USFamily.Net</t>
  </si>
  <si>
    <t>Alex Buslee</t>
  </si>
  <si>
    <t>Kanavati14@aol.com</t>
  </si>
  <si>
    <t>Steve Stanley</t>
  </si>
  <si>
    <t>Sstanley@mucr.com</t>
  </si>
  <si>
    <t>Lee Westwood</t>
  </si>
  <si>
    <t>Odds</t>
  </si>
  <si>
    <t>EVEN MONEY</t>
  </si>
  <si>
    <t>10-1</t>
  </si>
  <si>
    <t>18-1</t>
  </si>
  <si>
    <t>20-1</t>
  </si>
  <si>
    <t>35-1</t>
  </si>
  <si>
    <t>28-1</t>
  </si>
  <si>
    <t>25-1</t>
  </si>
  <si>
    <t>70-1</t>
  </si>
  <si>
    <t>60-1</t>
  </si>
  <si>
    <t>125-1</t>
  </si>
  <si>
    <t>100-1</t>
  </si>
  <si>
    <t>80-1</t>
  </si>
  <si>
    <t>66-1</t>
  </si>
  <si>
    <t>150-1</t>
  </si>
  <si>
    <t>15-1</t>
  </si>
  <si>
    <t>50-1</t>
  </si>
  <si>
    <t>250-1</t>
  </si>
  <si>
    <t>300-1</t>
  </si>
  <si>
    <t>325-1</t>
  </si>
  <si>
    <t>200-1</t>
  </si>
  <si>
    <t>175-1</t>
  </si>
  <si>
    <t>40-1</t>
  </si>
  <si>
    <t>90-1</t>
  </si>
  <si>
    <t>400-1</t>
  </si>
  <si>
    <t>350-1</t>
  </si>
  <si>
    <t>500-1</t>
  </si>
  <si>
    <t>375-1</t>
  </si>
  <si>
    <t>600-1</t>
  </si>
  <si>
    <t>1000-1</t>
  </si>
  <si>
    <t>450-1</t>
  </si>
  <si>
    <t>2000-1</t>
  </si>
  <si>
    <t>5000-1</t>
  </si>
  <si>
    <t>3000-1</t>
  </si>
  <si>
    <t>6000-1</t>
  </si>
  <si>
    <t>800-1</t>
  </si>
  <si>
    <t>10000-1</t>
  </si>
  <si>
    <t>Lucas.kanavati@traditionllc.com; crockett.eric@mayo.edu</t>
  </si>
  <si>
    <t>blakeb.msp@transgroup.com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</si>
</sst>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vertical="top" wrapText="1"/>
    </xf>
    <xf numFmtId="0" fontId="1" fillId="39" borderId="10" xfId="0" applyFont="1" applyFill="1" applyBorder="1" applyAlignment="1">
      <alignment vertical="top" wrapText="1"/>
    </xf>
    <xf numFmtId="0" fontId="1" fillId="39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1" fillId="34" borderId="12" xfId="0" applyFont="1" applyFill="1" applyBorder="1" applyAlignment="1">
      <alignment vertical="top" wrapText="1"/>
    </xf>
    <xf numFmtId="0" fontId="0" fillId="34" borderId="18" xfId="0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4" fontId="1" fillId="33" borderId="0" xfId="44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4" fontId="1" fillId="41" borderId="25" xfId="0" applyNumberFormat="1" applyFont="1" applyFill="1" applyBorder="1" applyAlignment="1">
      <alignment horizontal="center"/>
    </xf>
    <xf numFmtId="44" fontId="1" fillId="41" borderId="26" xfId="0" applyNumberFormat="1" applyFont="1" applyFill="1" applyBorder="1" applyAlignment="1">
      <alignment horizontal="center"/>
    </xf>
    <xf numFmtId="44" fontId="1" fillId="41" borderId="27" xfId="0" applyNumberFormat="1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horizontal="center" vertical="center"/>
    </xf>
    <xf numFmtId="44" fontId="2" fillId="42" borderId="30" xfId="44" applyFont="1" applyFill="1" applyBorder="1" applyAlignment="1">
      <alignment horizontal="center" vertical="center"/>
    </xf>
    <xf numFmtId="44" fontId="2" fillId="42" borderId="31" xfId="44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44" fontId="2" fillId="42" borderId="32" xfId="44" applyFont="1" applyFill="1" applyBorder="1" applyAlignment="1">
      <alignment horizontal="center" vertical="center"/>
    </xf>
    <xf numFmtId="0" fontId="2" fillId="42" borderId="33" xfId="0" applyFont="1" applyFill="1" applyBorder="1" applyAlignment="1">
      <alignment horizontal="center" vertical="center"/>
    </xf>
    <xf numFmtId="0" fontId="2" fillId="42" borderId="34" xfId="0" applyFont="1" applyFill="1" applyBorder="1" applyAlignment="1">
      <alignment horizontal="center" vertical="center"/>
    </xf>
    <xf numFmtId="44" fontId="2" fillId="42" borderId="35" xfId="44" applyFont="1" applyFill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/>
    </xf>
    <xf numFmtId="44" fontId="6" fillId="43" borderId="37" xfId="44" applyFont="1" applyFill="1" applyBorder="1" applyAlignment="1">
      <alignment horizontal="center"/>
    </xf>
    <xf numFmtId="0" fontId="6" fillId="43" borderId="38" xfId="0" applyFont="1" applyFill="1" applyBorder="1" applyAlignment="1">
      <alignment horizontal="center"/>
    </xf>
    <xf numFmtId="44" fontId="6" fillId="43" borderId="39" xfId="44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49" fontId="2" fillId="40" borderId="28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1" fillId="44" borderId="38" xfId="0" applyFont="1" applyFill="1" applyBorder="1" applyAlignment="1">
      <alignment horizontal="center"/>
    </xf>
    <xf numFmtId="44" fontId="1" fillId="44" borderId="39" xfId="44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44" fontId="1" fillId="44" borderId="37" xfId="44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44" fontId="1" fillId="44" borderId="41" xfId="44" applyFont="1" applyFill="1" applyBorder="1" applyAlignment="1">
      <alignment horizontal="center"/>
    </xf>
    <xf numFmtId="0" fontId="1" fillId="45" borderId="38" xfId="0" applyFont="1" applyFill="1" applyBorder="1" applyAlignment="1">
      <alignment horizontal="center"/>
    </xf>
    <xf numFmtId="44" fontId="1" fillId="45" borderId="39" xfId="44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44" fontId="1" fillId="45" borderId="37" xfId="44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44" fontId="1" fillId="45" borderId="41" xfId="44" applyFont="1" applyFill="1" applyBorder="1" applyAlignment="1">
      <alignment horizontal="center"/>
    </xf>
    <xf numFmtId="0" fontId="1" fillId="46" borderId="38" xfId="0" applyFont="1" applyFill="1" applyBorder="1" applyAlignment="1">
      <alignment horizontal="center"/>
    </xf>
    <xf numFmtId="44" fontId="1" fillId="46" borderId="39" xfId="44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44" fontId="1" fillId="46" borderId="37" xfId="44" applyFont="1" applyFill="1" applyBorder="1" applyAlignment="1">
      <alignment horizontal="center"/>
    </xf>
    <xf numFmtId="0" fontId="1" fillId="46" borderId="11" xfId="0" applyFont="1" applyFill="1" applyBorder="1" applyAlignment="1">
      <alignment horizontal="center"/>
    </xf>
    <xf numFmtId="44" fontId="1" fillId="46" borderId="41" xfId="44" applyFont="1" applyFill="1" applyBorder="1" applyAlignment="1">
      <alignment horizontal="center"/>
    </xf>
    <xf numFmtId="0" fontId="2" fillId="42" borderId="28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E77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8" sqref="G8"/>
    </sheetView>
  </sheetViews>
  <sheetFormatPr defaultColWidth="9.140625" defaultRowHeight="12.75"/>
  <cols>
    <col min="1" max="1" width="16.28125" style="93" bestFit="1" customWidth="1"/>
    <col min="2" max="2" width="41.8515625" style="44" hidden="1" customWidth="1"/>
    <col min="3" max="3" width="16.8515625" style="44" hidden="1" customWidth="1"/>
    <col min="4" max="4" width="15.00390625" style="41" bestFit="1" customWidth="1"/>
    <col min="5" max="5" width="13.8515625" style="41" bestFit="1" customWidth="1"/>
    <col min="6" max="6" width="16.00390625" style="45" bestFit="1" customWidth="1"/>
    <col min="7" max="7" width="13.8515625" style="41" bestFit="1" customWidth="1"/>
    <col min="8" max="8" width="13.00390625" style="45" customWidth="1"/>
    <col min="9" max="9" width="15.28125" style="41" bestFit="1" customWidth="1"/>
    <col min="10" max="10" width="15.8515625" style="45" bestFit="1" customWidth="1"/>
    <col min="11" max="11" width="15.00390625" style="41" bestFit="1" customWidth="1"/>
    <col min="12" max="12" width="15.8515625" style="45" bestFit="1" customWidth="1"/>
    <col min="13" max="13" width="13.57421875" style="41" bestFit="1" customWidth="1"/>
    <col min="14" max="14" width="16.00390625" style="45" bestFit="1" customWidth="1"/>
    <col min="15" max="15" width="13.57421875" style="41" bestFit="1" customWidth="1"/>
    <col min="16" max="16" width="16.00390625" style="45" bestFit="1" customWidth="1"/>
    <col min="17" max="17" width="13.421875" style="41" bestFit="1" customWidth="1"/>
    <col min="18" max="18" width="15.8515625" style="45" bestFit="1" customWidth="1"/>
    <col min="19" max="19" width="14.00390625" style="41" bestFit="1" customWidth="1"/>
    <col min="20" max="20" width="15.8515625" style="45" bestFit="1" customWidth="1"/>
    <col min="21" max="21" width="13.28125" style="41" bestFit="1" customWidth="1"/>
    <col min="22" max="22" width="15.7109375" style="45" bestFit="1" customWidth="1"/>
    <col min="23" max="23" width="13.28125" style="41" bestFit="1" customWidth="1"/>
    <col min="24" max="24" width="15.7109375" style="45" bestFit="1" customWidth="1"/>
    <col min="25" max="25" width="13.8515625" style="41" bestFit="1" customWidth="1"/>
    <col min="26" max="26" width="15.7109375" style="45" bestFit="1" customWidth="1"/>
    <col min="27" max="16384" width="9.140625" style="41" customWidth="1"/>
  </cols>
  <sheetData>
    <row r="1" spans="1:26" s="39" customFormat="1" ht="21.75" customHeight="1" thickBot="1">
      <c r="A1" s="88" t="s">
        <v>181</v>
      </c>
      <c r="B1" s="51" t="s">
        <v>87</v>
      </c>
      <c r="C1" s="52" t="s">
        <v>88</v>
      </c>
      <c r="D1" s="57" t="s">
        <v>21</v>
      </c>
      <c r="E1" s="58" t="s">
        <v>6</v>
      </c>
      <c r="F1" s="59" t="s">
        <v>5</v>
      </c>
      <c r="G1" s="58" t="s">
        <v>7</v>
      </c>
      <c r="H1" s="56" t="s">
        <v>8</v>
      </c>
      <c r="I1" s="60" t="s">
        <v>20</v>
      </c>
      <c r="J1" s="53" t="s">
        <v>9</v>
      </c>
      <c r="K1" s="55" t="s">
        <v>19</v>
      </c>
      <c r="L1" s="53" t="s">
        <v>10</v>
      </c>
      <c r="M1" s="55" t="s">
        <v>18</v>
      </c>
      <c r="N1" s="53" t="s">
        <v>11</v>
      </c>
      <c r="O1" s="55" t="s">
        <v>17</v>
      </c>
      <c r="P1" s="53" t="s">
        <v>12</v>
      </c>
      <c r="Q1" s="55" t="s">
        <v>14</v>
      </c>
      <c r="R1" s="53" t="s">
        <v>16</v>
      </c>
      <c r="S1" s="55" t="s">
        <v>13</v>
      </c>
      <c r="T1" s="53" t="s">
        <v>15</v>
      </c>
      <c r="U1" s="55" t="s">
        <v>22</v>
      </c>
      <c r="V1" s="53" t="s">
        <v>23</v>
      </c>
      <c r="W1" s="55" t="s">
        <v>26</v>
      </c>
      <c r="X1" s="53" t="s">
        <v>24</v>
      </c>
      <c r="Y1" s="51" t="s">
        <v>27</v>
      </c>
      <c r="Z1" s="54" t="s">
        <v>25</v>
      </c>
    </row>
    <row r="2" spans="1:26" ht="11.25">
      <c r="A2" s="89" t="s">
        <v>225</v>
      </c>
      <c r="B2" s="22" t="s">
        <v>90</v>
      </c>
      <c r="C2" s="40" t="s">
        <v>89</v>
      </c>
      <c r="D2" s="48">
        <f aca="true" t="shared" si="0" ref="D2:D33">SUM(F2)+H2+J2+L2+N2+P2+R2+T2+V2+X2+Z2</f>
        <v>2277300</v>
      </c>
      <c r="E2" s="82" t="s">
        <v>106</v>
      </c>
      <c r="F2" s="83">
        <v>810000</v>
      </c>
      <c r="G2" s="82"/>
      <c r="H2" s="85"/>
      <c r="I2" s="63" t="s">
        <v>111</v>
      </c>
      <c r="J2" s="64">
        <v>1350000</v>
      </c>
      <c r="K2" s="72" t="s">
        <v>94</v>
      </c>
      <c r="L2" s="73">
        <v>0</v>
      </c>
      <c r="M2" s="82" t="s">
        <v>127</v>
      </c>
      <c r="N2" s="83">
        <v>33000</v>
      </c>
      <c r="O2" s="82" t="s">
        <v>151</v>
      </c>
      <c r="P2" s="83">
        <v>0</v>
      </c>
      <c r="Q2" s="72" t="s">
        <v>189</v>
      </c>
      <c r="R2" s="73">
        <v>84300</v>
      </c>
      <c r="S2" s="70" t="s">
        <v>202</v>
      </c>
      <c r="T2" s="71">
        <v>0</v>
      </c>
      <c r="U2" s="76" t="s">
        <v>148</v>
      </c>
      <c r="V2" s="77">
        <v>0</v>
      </c>
      <c r="W2" s="76" t="s">
        <v>130</v>
      </c>
      <c r="X2" s="77">
        <v>0</v>
      </c>
      <c r="Y2" s="70" t="s">
        <v>211</v>
      </c>
      <c r="Z2" s="71">
        <v>0</v>
      </c>
    </row>
    <row r="3" spans="1:26" ht="11.25">
      <c r="A3" s="90" t="s">
        <v>256</v>
      </c>
      <c r="B3" s="22" t="s">
        <v>254</v>
      </c>
      <c r="C3" s="42" t="s">
        <v>91</v>
      </c>
      <c r="D3" s="49">
        <f t="shared" si="0"/>
        <v>1930500</v>
      </c>
      <c r="E3" s="84" t="s">
        <v>106</v>
      </c>
      <c r="F3" s="85">
        <v>810000</v>
      </c>
      <c r="G3" s="84"/>
      <c r="H3" s="85"/>
      <c r="I3" s="72" t="s">
        <v>123</v>
      </c>
      <c r="J3" s="73">
        <v>435000</v>
      </c>
      <c r="K3" s="72" t="s">
        <v>109</v>
      </c>
      <c r="L3" s="73">
        <v>33000</v>
      </c>
      <c r="M3" s="84" t="s">
        <v>171</v>
      </c>
      <c r="N3" s="85">
        <v>0</v>
      </c>
      <c r="O3" s="84" t="s">
        <v>103</v>
      </c>
      <c r="P3" s="85">
        <v>0</v>
      </c>
      <c r="Q3" s="72" t="s">
        <v>203</v>
      </c>
      <c r="R3" s="73">
        <v>217500</v>
      </c>
      <c r="S3" s="72" t="s">
        <v>206</v>
      </c>
      <c r="T3" s="73">
        <v>435000</v>
      </c>
      <c r="U3" s="78" t="s">
        <v>130</v>
      </c>
      <c r="V3" s="79">
        <v>0</v>
      </c>
      <c r="W3" s="78" t="s">
        <v>148</v>
      </c>
      <c r="X3" s="79">
        <v>0</v>
      </c>
      <c r="Y3" s="72" t="s">
        <v>211</v>
      </c>
      <c r="Z3" s="73">
        <v>0</v>
      </c>
    </row>
    <row r="4" spans="1:26" ht="11.25">
      <c r="A4" s="90" t="s">
        <v>142</v>
      </c>
      <c r="B4" s="22" t="s">
        <v>257</v>
      </c>
      <c r="C4" s="43" t="s">
        <v>91</v>
      </c>
      <c r="D4" s="49">
        <f t="shared" si="0"/>
        <v>1700844</v>
      </c>
      <c r="E4" s="84" t="s">
        <v>143</v>
      </c>
      <c r="F4" s="85">
        <v>0</v>
      </c>
      <c r="G4" s="84" t="s">
        <v>157</v>
      </c>
      <c r="H4" s="85">
        <v>28500</v>
      </c>
      <c r="I4" s="61" t="s">
        <v>111</v>
      </c>
      <c r="J4" s="62">
        <v>1350000</v>
      </c>
      <c r="K4" s="72" t="s">
        <v>126</v>
      </c>
      <c r="L4" s="73">
        <v>0</v>
      </c>
      <c r="M4" s="84" t="s">
        <v>171</v>
      </c>
      <c r="N4" s="85">
        <v>0</v>
      </c>
      <c r="O4" s="84" t="s">
        <v>131</v>
      </c>
      <c r="P4" s="85">
        <v>54844</v>
      </c>
      <c r="Q4" s="72" t="s">
        <v>191</v>
      </c>
      <c r="R4" s="73">
        <v>0</v>
      </c>
      <c r="S4" s="72" t="s">
        <v>203</v>
      </c>
      <c r="T4" s="73">
        <v>217500</v>
      </c>
      <c r="U4" s="78" t="s">
        <v>148</v>
      </c>
      <c r="V4" s="79">
        <v>0</v>
      </c>
      <c r="W4" s="78" t="s">
        <v>167</v>
      </c>
      <c r="X4" s="79">
        <v>0</v>
      </c>
      <c r="Y4" s="72" t="s">
        <v>212</v>
      </c>
      <c r="Z4" s="73">
        <v>50000</v>
      </c>
    </row>
    <row r="5" spans="1:26" ht="11.25">
      <c r="A5" s="90" t="s">
        <v>217</v>
      </c>
      <c r="B5" s="22" t="s">
        <v>218</v>
      </c>
      <c r="C5" s="42" t="s">
        <v>244</v>
      </c>
      <c r="D5" s="49">
        <f t="shared" si="0"/>
        <v>1686050</v>
      </c>
      <c r="E5" s="84" t="s">
        <v>106</v>
      </c>
      <c r="F5" s="85">
        <v>810000</v>
      </c>
      <c r="G5" s="84"/>
      <c r="H5" s="85"/>
      <c r="I5" s="72" t="s">
        <v>123</v>
      </c>
      <c r="J5" s="73">
        <v>435000</v>
      </c>
      <c r="K5" s="72" t="s">
        <v>109</v>
      </c>
      <c r="L5" s="73">
        <v>33000</v>
      </c>
      <c r="M5" s="84" t="s">
        <v>112</v>
      </c>
      <c r="N5" s="85">
        <v>0</v>
      </c>
      <c r="O5" s="84" t="s">
        <v>103</v>
      </c>
      <c r="P5" s="85">
        <v>0</v>
      </c>
      <c r="Q5" s="72" t="s">
        <v>190</v>
      </c>
      <c r="R5" s="73">
        <v>84300</v>
      </c>
      <c r="S5" s="72" t="s">
        <v>193</v>
      </c>
      <c r="T5" s="73">
        <v>273750</v>
      </c>
      <c r="U5" s="78" t="s">
        <v>148</v>
      </c>
      <c r="V5" s="79">
        <v>0</v>
      </c>
      <c r="W5" s="78" t="s">
        <v>167</v>
      </c>
      <c r="X5" s="79">
        <v>0</v>
      </c>
      <c r="Y5" s="72" t="s">
        <v>212</v>
      </c>
      <c r="Z5" s="73">
        <v>50000</v>
      </c>
    </row>
    <row r="6" spans="1:26" ht="11.25">
      <c r="A6" s="90" t="s">
        <v>268</v>
      </c>
      <c r="B6" s="22" t="s">
        <v>275</v>
      </c>
      <c r="C6" s="42" t="s">
        <v>262</v>
      </c>
      <c r="D6" s="49">
        <f t="shared" si="0"/>
        <v>1630344</v>
      </c>
      <c r="E6" s="84" t="s">
        <v>106</v>
      </c>
      <c r="F6" s="85">
        <v>810000</v>
      </c>
      <c r="G6" s="84"/>
      <c r="H6" s="85"/>
      <c r="I6" s="72" t="s">
        <v>123</v>
      </c>
      <c r="J6" s="73">
        <v>435000</v>
      </c>
      <c r="K6" s="72" t="s">
        <v>109</v>
      </c>
      <c r="L6" s="73">
        <v>33000</v>
      </c>
      <c r="M6" s="84" t="s">
        <v>115</v>
      </c>
      <c r="N6" s="85">
        <v>54844</v>
      </c>
      <c r="O6" s="84" t="s">
        <v>97</v>
      </c>
      <c r="P6" s="85">
        <v>112500</v>
      </c>
      <c r="Q6" s="72" t="s">
        <v>201</v>
      </c>
      <c r="R6" s="73">
        <v>135000</v>
      </c>
      <c r="S6" s="72" t="s">
        <v>191</v>
      </c>
      <c r="T6" s="73">
        <v>0</v>
      </c>
      <c r="U6" s="78" t="s">
        <v>130</v>
      </c>
      <c r="V6" s="79">
        <v>0</v>
      </c>
      <c r="W6" s="78" t="s">
        <v>148</v>
      </c>
      <c r="X6" s="79">
        <v>0</v>
      </c>
      <c r="Y6" s="72" t="s">
        <v>212</v>
      </c>
      <c r="Z6" s="73">
        <v>50000</v>
      </c>
    </row>
    <row r="7" spans="1:26" ht="11.25">
      <c r="A7" s="90" t="s">
        <v>144</v>
      </c>
      <c r="B7" s="21" t="s">
        <v>346</v>
      </c>
      <c r="C7" s="42" t="s">
        <v>91</v>
      </c>
      <c r="D7" s="49">
        <f t="shared" si="0"/>
        <v>1585500</v>
      </c>
      <c r="E7" s="84" t="s">
        <v>106</v>
      </c>
      <c r="F7" s="85">
        <v>810000</v>
      </c>
      <c r="G7" s="84"/>
      <c r="H7" s="85"/>
      <c r="I7" s="72" t="s">
        <v>123</v>
      </c>
      <c r="J7" s="73">
        <v>435000</v>
      </c>
      <c r="K7" s="72" t="s">
        <v>109</v>
      </c>
      <c r="L7" s="73">
        <v>33000</v>
      </c>
      <c r="M7" s="84" t="s">
        <v>120</v>
      </c>
      <c r="N7" s="85">
        <v>172500</v>
      </c>
      <c r="O7" s="84" t="s">
        <v>170</v>
      </c>
      <c r="P7" s="85">
        <v>0</v>
      </c>
      <c r="Q7" s="72" t="s">
        <v>201</v>
      </c>
      <c r="R7" s="73">
        <v>135000</v>
      </c>
      <c r="S7" s="72" t="s">
        <v>191</v>
      </c>
      <c r="T7" s="73">
        <v>0</v>
      </c>
      <c r="U7" s="78" t="s">
        <v>130</v>
      </c>
      <c r="V7" s="79">
        <v>0</v>
      </c>
      <c r="W7" s="78" t="s">
        <v>148</v>
      </c>
      <c r="X7" s="79">
        <v>0</v>
      </c>
      <c r="Y7" s="72" t="s">
        <v>212</v>
      </c>
      <c r="Z7" s="73">
        <v>0</v>
      </c>
    </row>
    <row r="8" spans="1:26" ht="11.25">
      <c r="A8" s="90" t="s">
        <v>136</v>
      </c>
      <c r="B8" s="21" t="s">
        <v>278</v>
      </c>
      <c r="C8" s="42" t="s">
        <v>262</v>
      </c>
      <c r="D8" s="49">
        <f t="shared" si="0"/>
        <v>1576250</v>
      </c>
      <c r="E8" s="84" t="s">
        <v>106</v>
      </c>
      <c r="F8" s="85">
        <v>810000</v>
      </c>
      <c r="G8" s="84"/>
      <c r="H8" s="85"/>
      <c r="I8" s="72" t="s">
        <v>109</v>
      </c>
      <c r="J8" s="73">
        <v>33000</v>
      </c>
      <c r="K8" s="72" t="s">
        <v>84</v>
      </c>
      <c r="L8" s="73">
        <v>30750</v>
      </c>
      <c r="M8" s="84" t="s">
        <v>103</v>
      </c>
      <c r="N8" s="85">
        <v>0</v>
      </c>
      <c r="O8" s="84" t="s">
        <v>170</v>
      </c>
      <c r="P8" s="85">
        <v>0</v>
      </c>
      <c r="Q8" s="72" t="s">
        <v>203</v>
      </c>
      <c r="R8" s="73">
        <v>217500</v>
      </c>
      <c r="S8" s="72" t="s">
        <v>206</v>
      </c>
      <c r="T8" s="73">
        <v>435000</v>
      </c>
      <c r="U8" s="78" t="s">
        <v>130</v>
      </c>
      <c r="V8" s="79">
        <v>0</v>
      </c>
      <c r="W8" s="78" t="s">
        <v>148</v>
      </c>
      <c r="X8" s="79">
        <v>0</v>
      </c>
      <c r="Y8" s="72" t="s">
        <v>212</v>
      </c>
      <c r="Z8" s="73">
        <v>50000</v>
      </c>
    </row>
    <row r="9" spans="1:26" ht="11.25">
      <c r="A9" s="90" t="s">
        <v>293</v>
      </c>
      <c r="B9" s="21" t="s">
        <v>291</v>
      </c>
      <c r="C9" s="42" t="s">
        <v>91</v>
      </c>
      <c r="D9" s="49">
        <f t="shared" si="0"/>
        <v>1532969</v>
      </c>
      <c r="E9" s="84" t="s">
        <v>106</v>
      </c>
      <c r="F9" s="85">
        <v>810000</v>
      </c>
      <c r="G9" s="84"/>
      <c r="H9" s="85"/>
      <c r="I9" s="72" t="s">
        <v>145</v>
      </c>
      <c r="J9" s="73">
        <v>36875</v>
      </c>
      <c r="K9" s="72" t="s">
        <v>117</v>
      </c>
      <c r="L9" s="73">
        <v>54844</v>
      </c>
      <c r="M9" s="84" t="s">
        <v>120</v>
      </c>
      <c r="N9" s="85">
        <v>172500</v>
      </c>
      <c r="O9" s="84" t="s">
        <v>103</v>
      </c>
      <c r="P9" s="85">
        <v>0</v>
      </c>
      <c r="Q9" s="72" t="s">
        <v>201</v>
      </c>
      <c r="R9" s="73">
        <v>135000</v>
      </c>
      <c r="S9" s="72" t="s">
        <v>193</v>
      </c>
      <c r="T9" s="73">
        <v>273750</v>
      </c>
      <c r="U9" s="78" t="s">
        <v>130</v>
      </c>
      <c r="V9" s="79">
        <v>0</v>
      </c>
      <c r="W9" s="78" t="s">
        <v>148</v>
      </c>
      <c r="X9" s="79">
        <v>0</v>
      </c>
      <c r="Y9" s="72" t="s">
        <v>212</v>
      </c>
      <c r="Z9" s="73">
        <v>50000</v>
      </c>
    </row>
    <row r="10" spans="1:26" ht="11.25">
      <c r="A10" s="90" t="s">
        <v>244</v>
      </c>
      <c r="B10" s="21" t="s">
        <v>245</v>
      </c>
      <c r="C10" s="42" t="s">
        <v>244</v>
      </c>
      <c r="D10" s="49">
        <f t="shared" si="0"/>
        <v>1480500</v>
      </c>
      <c r="E10" s="84" t="s">
        <v>106</v>
      </c>
      <c r="F10" s="85">
        <v>810000</v>
      </c>
      <c r="G10" s="84"/>
      <c r="H10" s="85"/>
      <c r="I10" s="72" t="s">
        <v>109</v>
      </c>
      <c r="J10" s="73">
        <v>33000</v>
      </c>
      <c r="K10" s="72" t="s">
        <v>94</v>
      </c>
      <c r="L10" s="73">
        <v>0</v>
      </c>
      <c r="M10" s="84" t="s">
        <v>120</v>
      </c>
      <c r="N10" s="85">
        <v>172500</v>
      </c>
      <c r="O10" s="84" t="s">
        <v>97</v>
      </c>
      <c r="P10" s="85">
        <v>112500</v>
      </c>
      <c r="Q10" s="72" t="s">
        <v>201</v>
      </c>
      <c r="R10" s="73">
        <v>135000</v>
      </c>
      <c r="S10" s="72" t="s">
        <v>203</v>
      </c>
      <c r="T10" s="73">
        <v>217500</v>
      </c>
      <c r="U10" s="78" t="s">
        <v>130</v>
      </c>
      <c r="V10" s="79">
        <v>0</v>
      </c>
      <c r="W10" s="78" t="s">
        <v>148</v>
      </c>
      <c r="X10" s="79">
        <v>0</v>
      </c>
      <c r="Y10" s="72" t="s">
        <v>212</v>
      </c>
      <c r="Z10" s="73"/>
    </row>
    <row r="11" spans="1:26" ht="11.25">
      <c r="A11" s="90" t="s">
        <v>283</v>
      </c>
      <c r="B11" s="21" t="s">
        <v>284</v>
      </c>
      <c r="C11" s="42" t="s">
        <v>283</v>
      </c>
      <c r="D11" s="49">
        <f t="shared" si="0"/>
        <v>1468444</v>
      </c>
      <c r="E11" s="84" t="s">
        <v>106</v>
      </c>
      <c r="F11" s="85">
        <v>810000</v>
      </c>
      <c r="G11" s="84"/>
      <c r="H11" s="85"/>
      <c r="I11" s="72" t="s">
        <v>123</v>
      </c>
      <c r="J11" s="73">
        <v>435000</v>
      </c>
      <c r="K11" s="72" t="s">
        <v>117</v>
      </c>
      <c r="L11" s="73">
        <v>54844</v>
      </c>
      <c r="M11" s="84" t="s">
        <v>183</v>
      </c>
      <c r="N11" s="85">
        <v>84300</v>
      </c>
      <c r="O11" s="84" t="s">
        <v>103</v>
      </c>
      <c r="P11" s="85">
        <v>0</v>
      </c>
      <c r="Q11" s="72" t="s">
        <v>188</v>
      </c>
      <c r="R11" s="73">
        <v>0</v>
      </c>
      <c r="S11" s="72" t="s">
        <v>190</v>
      </c>
      <c r="T11" s="73">
        <v>84300</v>
      </c>
      <c r="U11" s="78" t="s">
        <v>116</v>
      </c>
      <c r="V11" s="79">
        <v>0</v>
      </c>
      <c r="W11" s="78" t="s">
        <v>107</v>
      </c>
      <c r="X11" s="79">
        <v>0</v>
      </c>
      <c r="Y11" s="72" t="s">
        <v>212</v>
      </c>
      <c r="Z11" s="73"/>
    </row>
    <row r="12" spans="1:26" ht="11.25">
      <c r="A12" s="90" t="s">
        <v>273</v>
      </c>
      <c r="B12" s="21" t="s">
        <v>302</v>
      </c>
      <c r="C12" s="42" t="s">
        <v>262</v>
      </c>
      <c r="D12" s="49">
        <f t="shared" si="0"/>
        <v>1466675</v>
      </c>
      <c r="E12" s="84" t="s">
        <v>106</v>
      </c>
      <c r="F12" s="85">
        <v>810000</v>
      </c>
      <c r="G12" s="84"/>
      <c r="H12" s="85"/>
      <c r="I12" s="72" t="s">
        <v>145</v>
      </c>
      <c r="J12" s="73">
        <v>36875</v>
      </c>
      <c r="K12" s="72" t="s">
        <v>109</v>
      </c>
      <c r="L12" s="73">
        <v>33000</v>
      </c>
      <c r="M12" s="84" t="s">
        <v>120</v>
      </c>
      <c r="N12" s="85">
        <v>172500</v>
      </c>
      <c r="O12" s="84" t="s">
        <v>97</v>
      </c>
      <c r="P12" s="85">
        <v>112500</v>
      </c>
      <c r="Q12" s="72" t="s">
        <v>190</v>
      </c>
      <c r="R12" s="73">
        <v>84300</v>
      </c>
      <c r="S12" s="72" t="s">
        <v>203</v>
      </c>
      <c r="T12" s="73">
        <v>217500</v>
      </c>
      <c r="U12" s="78" t="s">
        <v>130</v>
      </c>
      <c r="V12" s="79">
        <v>0</v>
      </c>
      <c r="W12" s="78" t="s">
        <v>148</v>
      </c>
      <c r="X12" s="79">
        <v>0</v>
      </c>
      <c r="Y12" s="72" t="s">
        <v>210</v>
      </c>
      <c r="Z12" s="73">
        <v>0</v>
      </c>
    </row>
    <row r="13" spans="1:26" ht="11.25">
      <c r="A13" s="90" t="s">
        <v>249</v>
      </c>
      <c r="B13" s="21" t="s">
        <v>248</v>
      </c>
      <c r="C13" s="42" t="s">
        <v>244</v>
      </c>
      <c r="D13" s="49">
        <f t="shared" si="0"/>
        <v>1465594</v>
      </c>
      <c r="E13" s="84" t="s">
        <v>106</v>
      </c>
      <c r="F13" s="85">
        <v>810000</v>
      </c>
      <c r="G13" s="84"/>
      <c r="H13" s="85"/>
      <c r="I13" s="72" t="s">
        <v>123</v>
      </c>
      <c r="J13" s="73">
        <v>435000</v>
      </c>
      <c r="K13" s="72" t="s">
        <v>84</v>
      </c>
      <c r="L13" s="73">
        <v>30750</v>
      </c>
      <c r="M13" s="84" t="s">
        <v>185</v>
      </c>
      <c r="N13" s="85">
        <v>54844</v>
      </c>
      <c r="O13" s="84" t="s">
        <v>171</v>
      </c>
      <c r="P13" s="85">
        <v>0</v>
      </c>
      <c r="Q13" s="72" t="s">
        <v>201</v>
      </c>
      <c r="R13" s="73">
        <v>135000</v>
      </c>
      <c r="S13" s="72" t="s">
        <v>188</v>
      </c>
      <c r="T13" s="73">
        <v>0</v>
      </c>
      <c r="U13" s="78" t="s">
        <v>130</v>
      </c>
      <c r="V13" s="79">
        <v>0</v>
      </c>
      <c r="W13" s="78" t="s">
        <v>148</v>
      </c>
      <c r="X13" s="79">
        <v>0</v>
      </c>
      <c r="Y13" s="72" t="s">
        <v>210</v>
      </c>
      <c r="Z13" s="73">
        <v>0</v>
      </c>
    </row>
    <row r="14" spans="1:26" ht="11.25">
      <c r="A14" s="90" t="s">
        <v>139</v>
      </c>
      <c r="B14" s="21" t="s">
        <v>138</v>
      </c>
      <c r="C14" s="42" t="s">
        <v>91</v>
      </c>
      <c r="D14" s="49">
        <f t="shared" si="0"/>
        <v>1452625</v>
      </c>
      <c r="E14" s="84" t="s">
        <v>106</v>
      </c>
      <c r="F14" s="85">
        <v>810000</v>
      </c>
      <c r="G14" s="84"/>
      <c r="H14" s="85"/>
      <c r="I14" s="72" t="s">
        <v>84</v>
      </c>
      <c r="J14" s="73">
        <v>30750</v>
      </c>
      <c r="K14" s="72" t="s">
        <v>145</v>
      </c>
      <c r="L14" s="73">
        <v>36875</v>
      </c>
      <c r="M14" s="84" t="s">
        <v>120</v>
      </c>
      <c r="N14" s="85">
        <v>172500</v>
      </c>
      <c r="O14" s="84" t="s">
        <v>187</v>
      </c>
      <c r="P14" s="85">
        <v>0</v>
      </c>
      <c r="Q14" s="72" t="s">
        <v>201</v>
      </c>
      <c r="R14" s="73">
        <v>135000</v>
      </c>
      <c r="S14" s="72" t="s">
        <v>203</v>
      </c>
      <c r="T14" s="73">
        <v>217500</v>
      </c>
      <c r="U14" s="78" t="s">
        <v>130</v>
      </c>
      <c r="V14" s="79">
        <v>0</v>
      </c>
      <c r="W14" s="78" t="s">
        <v>148</v>
      </c>
      <c r="X14" s="79">
        <v>0</v>
      </c>
      <c r="Y14" s="72" t="s">
        <v>212</v>
      </c>
      <c r="Z14" s="73">
        <v>50000</v>
      </c>
    </row>
    <row r="15" spans="1:26" ht="11.25">
      <c r="A15" s="90" t="s">
        <v>236</v>
      </c>
      <c r="B15" s="21" t="s">
        <v>237</v>
      </c>
      <c r="C15" s="42" t="s">
        <v>91</v>
      </c>
      <c r="D15" s="49">
        <f t="shared" si="0"/>
        <v>1445394</v>
      </c>
      <c r="E15" s="84" t="s">
        <v>106</v>
      </c>
      <c r="F15" s="85">
        <v>810000</v>
      </c>
      <c r="G15" s="84"/>
      <c r="H15" s="85"/>
      <c r="I15" s="72" t="s">
        <v>95</v>
      </c>
      <c r="J15" s="73">
        <v>54844</v>
      </c>
      <c r="K15" s="72" t="s">
        <v>94</v>
      </c>
      <c r="L15" s="73">
        <v>0</v>
      </c>
      <c r="M15" s="84" t="s">
        <v>120</v>
      </c>
      <c r="N15" s="85">
        <v>172500</v>
      </c>
      <c r="O15" s="84" t="s">
        <v>170</v>
      </c>
      <c r="P15" s="85">
        <v>0</v>
      </c>
      <c r="Q15" s="72" t="s">
        <v>190</v>
      </c>
      <c r="R15" s="73">
        <v>84300</v>
      </c>
      <c r="S15" s="72" t="s">
        <v>193</v>
      </c>
      <c r="T15" s="73">
        <v>273750</v>
      </c>
      <c r="U15" s="78" t="s">
        <v>130</v>
      </c>
      <c r="V15" s="79">
        <v>0</v>
      </c>
      <c r="W15" s="78" t="s">
        <v>148</v>
      </c>
      <c r="X15" s="79">
        <v>0</v>
      </c>
      <c r="Y15" s="72" t="s">
        <v>212</v>
      </c>
      <c r="Z15" s="73">
        <v>50000</v>
      </c>
    </row>
    <row r="16" spans="1:26" ht="11.25">
      <c r="A16" s="90" t="s">
        <v>289</v>
      </c>
      <c r="B16" s="21" t="s">
        <v>290</v>
      </c>
      <c r="C16" s="42" t="s">
        <v>91</v>
      </c>
      <c r="D16" s="49">
        <f t="shared" si="0"/>
        <v>1422844</v>
      </c>
      <c r="E16" s="84" t="s">
        <v>106</v>
      </c>
      <c r="F16" s="85">
        <v>810000</v>
      </c>
      <c r="G16" s="84"/>
      <c r="H16" s="85"/>
      <c r="I16" s="72" t="s">
        <v>109</v>
      </c>
      <c r="J16" s="73">
        <v>33000</v>
      </c>
      <c r="K16" s="72" t="s">
        <v>117</v>
      </c>
      <c r="L16" s="73">
        <v>54844</v>
      </c>
      <c r="M16" s="84" t="s">
        <v>120</v>
      </c>
      <c r="N16" s="85">
        <v>172500</v>
      </c>
      <c r="O16" s="84" t="s">
        <v>171</v>
      </c>
      <c r="P16" s="85">
        <v>0</v>
      </c>
      <c r="Q16" s="72" t="s">
        <v>201</v>
      </c>
      <c r="R16" s="73">
        <v>135000</v>
      </c>
      <c r="S16" s="72" t="s">
        <v>203</v>
      </c>
      <c r="T16" s="73">
        <v>217500</v>
      </c>
      <c r="U16" s="78" t="s">
        <v>130</v>
      </c>
      <c r="V16" s="79">
        <v>0</v>
      </c>
      <c r="W16" s="78" t="s">
        <v>148</v>
      </c>
      <c r="X16" s="79">
        <v>0</v>
      </c>
      <c r="Y16" s="72" t="s">
        <v>210</v>
      </c>
      <c r="Z16" s="73">
        <v>0</v>
      </c>
    </row>
    <row r="17" spans="1:26" ht="11.25">
      <c r="A17" s="90" t="s">
        <v>140</v>
      </c>
      <c r="B17" s="21" t="s">
        <v>240</v>
      </c>
      <c r="C17" s="42" t="s">
        <v>241</v>
      </c>
      <c r="D17" s="49">
        <f t="shared" si="0"/>
        <v>1412844</v>
      </c>
      <c r="E17" s="84" t="s">
        <v>106</v>
      </c>
      <c r="F17" s="85">
        <v>810000</v>
      </c>
      <c r="G17" s="84"/>
      <c r="H17" s="85"/>
      <c r="I17" s="72" t="s">
        <v>109</v>
      </c>
      <c r="J17" s="73">
        <v>33000</v>
      </c>
      <c r="K17" s="72" t="s">
        <v>117</v>
      </c>
      <c r="L17" s="73">
        <v>54844</v>
      </c>
      <c r="M17" s="84" t="s">
        <v>171</v>
      </c>
      <c r="N17" s="85">
        <v>0</v>
      </c>
      <c r="O17" s="84" t="s">
        <v>97</v>
      </c>
      <c r="P17" s="85">
        <v>112500</v>
      </c>
      <c r="Q17" s="72" t="s">
        <v>201</v>
      </c>
      <c r="R17" s="73">
        <v>135000</v>
      </c>
      <c r="S17" s="72" t="s">
        <v>203</v>
      </c>
      <c r="T17" s="73">
        <v>217500</v>
      </c>
      <c r="U17" s="78" t="s">
        <v>130</v>
      </c>
      <c r="V17" s="79">
        <v>0</v>
      </c>
      <c r="W17" s="78" t="s">
        <v>148</v>
      </c>
      <c r="X17" s="79">
        <v>0</v>
      </c>
      <c r="Y17" s="72" t="s">
        <v>212</v>
      </c>
      <c r="Z17" s="73">
        <v>50000</v>
      </c>
    </row>
    <row r="18" spans="1:26" ht="11.25">
      <c r="A18" s="90" t="s">
        <v>4</v>
      </c>
      <c r="B18" s="21" t="s">
        <v>250</v>
      </c>
      <c r="C18" s="42" t="s">
        <v>89</v>
      </c>
      <c r="D18" s="49">
        <f t="shared" si="0"/>
        <v>1409532</v>
      </c>
      <c r="E18" s="84" t="s">
        <v>106</v>
      </c>
      <c r="F18" s="85">
        <v>810000</v>
      </c>
      <c r="G18" s="84"/>
      <c r="H18" s="85"/>
      <c r="I18" s="72" t="s">
        <v>117</v>
      </c>
      <c r="J18" s="73">
        <v>54844</v>
      </c>
      <c r="K18" s="72" t="s">
        <v>94</v>
      </c>
      <c r="L18" s="73">
        <v>0</v>
      </c>
      <c r="M18" s="84" t="s">
        <v>185</v>
      </c>
      <c r="N18" s="85">
        <v>54844</v>
      </c>
      <c r="O18" s="84" t="s">
        <v>131</v>
      </c>
      <c r="P18" s="85">
        <v>54844</v>
      </c>
      <c r="Q18" s="72" t="s">
        <v>196</v>
      </c>
      <c r="R18" s="73">
        <v>0</v>
      </c>
      <c r="S18" s="72" t="s">
        <v>206</v>
      </c>
      <c r="T18" s="73">
        <v>435000</v>
      </c>
      <c r="U18" s="78" t="s">
        <v>130</v>
      </c>
      <c r="V18" s="79">
        <v>0</v>
      </c>
      <c r="W18" s="78" t="s">
        <v>148</v>
      </c>
      <c r="X18" s="79">
        <v>0</v>
      </c>
      <c r="Y18" s="72" t="s">
        <v>211</v>
      </c>
      <c r="Z18" s="73">
        <v>0</v>
      </c>
    </row>
    <row r="19" spans="1:26" ht="11.25">
      <c r="A19" s="90" t="s">
        <v>118</v>
      </c>
      <c r="B19" s="21" t="s">
        <v>259</v>
      </c>
      <c r="C19" s="42" t="s">
        <v>91</v>
      </c>
      <c r="D19" s="49">
        <f t="shared" si="0"/>
        <v>1384144</v>
      </c>
      <c r="E19" s="84" t="s">
        <v>106</v>
      </c>
      <c r="F19" s="85">
        <v>810000</v>
      </c>
      <c r="G19" s="84"/>
      <c r="H19" s="85"/>
      <c r="I19" s="72" t="s">
        <v>105</v>
      </c>
      <c r="J19" s="73">
        <v>84300</v>
      </c>
      <c r="K19" s="72" t="s">
        <v>117</v>
      </c>
      <c r="L19" s="73">
        <v>54844</v>
      </c>
      <c r="M19" s="84" t="s">
        <v>171</v>
      </c>
      <c r="N19" s="85">
        <v>0</v>
      </c>
      <c r="O19" s="84" t="s">
        <v>119</v>
      </c>
      <c r="P19" s="85">
        <v>0</v>
      </c>
      <c r="Q19" s="72" t="s">
        <v>206</v>
      </c>
      <c r="R19" s="73">
        <v>435000</v>
      </c>
      <c r="S19" s="72" t="s">
        <v>209</v>
      </c>
      <c r="T19" s="73">
        <v>0</v>
      </c>
      <c r="U19" s="78" t="s">
        <v>130</v>
      </c>
      <c r="V19" s="79">
        <v>0</v>
      </c>
      <c r="W19" s="78" t="s">
        <v>148</v>
      </c>
      <c r="X19" s="79">
        <v>0</v>
      </c>
      <c r="Y19" s="72" t="s">
        <v>211</v>
      </c>
      <c r="Z19" s="73">
        <v>0</v>
      </c>
    </row>
    <row r="20" spans="1:26" ht="11.25">
      <c r="A20" s="90" t="s">
        <v>297</v>
      </c>
      <c r="B20" s="21" t="s">
        <v>296</v>
      </c>
      <c r="C20" s="42" t="s">
        <v>91</v>
      </c>
      <c r="D20" s="49">
        <f t="shared" si="0"/>
        <v>1338125</v>
      </c>
      <c r="E20" s="84" t="s">
        <v>106</v>
      </c>
      <c r="F20" s="85">
        <v>810000</v>
      </c>
      <c r="G20" s="84"/>
      <c r="H20" s="85"/>
      <c r="I20" s="72" t="s">
        <v>145</v>
      </c>
      <c r="J20" s="73">
        <v>36875</v>
      </c>
      <c r="K20" s="72" t="s">
        <v>114</v>
      </c>
      <c r="L20" s="73">
        <v>0</v>
      </c>
      <c r="M20" s="84" t="s">
        <v>112</v>
      </c>
      <c r="N20" s="85">
        <v>0</v>
      </c>
      <c r="O20" s="84" t="s">
        <v>170</v>
      </c>
      <c r="P20" s="85">
        <v>0</v>
      </c>
      <c r="Q20" s="72" t="s">
        <v>193</v>
      </c>
      <c r="R20" s="73">
        <v>273750</v>
      </c>
      <c r="S20" s="72" t="s">
        <v>121</v>
      </c>
      <c r="T20" s="73">
        <v>217500</v>
      </c>
      <c r="U20" s="78" t="s">
        <v>130</v>
      </c>
      <c r="V20" s="79">
        <v>0</v>
      </c>
      <c r="W20" s="78" t="s">
        <v>148</v>
      </c>
      <c r="X20" s="79">
        <v>0</v>
      </c>
      <c r="Y20" s="72" t="s">
        <v>212</v>
      </c>
      <c r="Z20" s="73"/>
    </row>
    <row r="21" spans="1:26" ht="11.25">
      <c r="A21" s="90" t="s">
        <v>229</v>
      </c>
      <c r="B21" s="21" t="s">
        <v>228</v>
      </c>
      <c r="C21" s="42" t="s">
        <v>91</v>
      </c>
      <c r="D21" s="49">
        <f t="shared" si="0"/>
        <v>1329800</v>
      </c>
      <c r="E21" s="84" t="s">
        <v>106</v>
      </c>
      <c r="F21" s="85">
        <v>810000</v>
      </c>
      <c r="G21" s="84"/>
      <c r="H21" s="85"/>
      <c r="I21" s="72" t="s">
        <v>105</v>
      </c>
      <c r="J21" s="73">
        <v>84300</v>
      </c>
      <c r="K21" s="72" t="s">
        <v>109</v>
      </c>
      <c r="L21" s="73">
        <v>33000</v>
      </c>
      <c r="M21" s="84" t="s">
        <v>171</v>
      </c>
      <c r="N21" s="85">
        <v>0</v>
      </c>
      <c r="O21" s="84" t="s">
        <v>187</v>
      </c>
      <c r="P21" s="85">
        <v>0</v>
      </c>
      <c r="Q21" s="72" t="s">
        <v>201</v>
      </c>
      <c r="R21" s="73">
        <v>135000</v>
      </c>
      <c r="S21" s="72" t="s">
        <v>203</v>
      </c>
      <c r="T21" s="73">
        <v>217500</v>
      </c>
      <c r="U21" s="78" t="s">
        <v>148</v>
      </c>
      <c r="V21" s="79">
        <v>0</v>
      </c>
      <c r="W21" s="78" t="s">
        <v>130</v>
      </c>
      <c r="X21" s="79">
        <v>0</v>
      </c>
      <c r="Y21" s="72" t="s">
        <v>212</v>
      </c>
      <c r="Z21" s="73">
        <v>50000</v>
      </c>
    </row>
    <row r="22" spans="1:26" ht="11.25">
      <c r="A22" s="90" t="s">
        <v>0</v>
      </c>
      <c r="B22" s="21" t="s">
        <v>250</v>
      </c>
      <c r="C22" s="42" t="s">
        <v>89</v>
      </c>
      <c r="D22" s="49">
        <f t="shared" si="0"/>
        <v>1309688</v>
      </c>
      <c r="E22" s="84" t="s">
        <v>106</v>
      </c>
      <c r="F22" s="85">
        <v>810000</v>
      </c>
      <c r="G22" s="84"/>
      <c r="H22" s="85"/>
      <c r="I22" s="72" t="s">
        <v>150</v>
      </c>
      <c r="J22" s="73">
        <v>0</v>
      </c>
      <c r="K22" s="72" t="s">
        <v>102</v>
      </c>
      <c r="L22" s="73">
        <v>217500</v>
      </c>
      <c r="M22" s="84" t="s">
        <v>171</v>
      </c>
      <c r="N22" s="85">
        <v>0</v>
      </c>
      <c r="O22" s="84" t="s">
        <v>122</v>
      </c>
      <c r="P22" s="85">
        <v>54844</v>
      </c>
      <c r="Q22" s="72" t="s">
        <v>207</v>
      </c>
      <c r="R22" s="73">
        <v>54844</v>
      </c>
      <c r="S22" s="72" t="s">
        <v>199</v>
      </c>
      <c r="T22" s="73">
        <v>172500</v>
      </c>
      <c r="U22" s="78" t="s">
        <v>130</v>
      </c>
      <c r="V22" s="79">
        <v>0</v>
      </c>
      <c r="W22" s="78" t="s">
        <v>148</v>
      </c>
      <c r="X22" s="79">
        <v>0</v>
      </c>
      <c r="Y22" s="72" t="s">
        <v>211</v>
      </c>
      <c r="Z22" s="73">
        <v>0</v>
      </c>
    </row>
    <row r="23" spans="1:26" ht="11.25">
      <c r="A23" s="90" t="s">
        <v>239</v>
      </c>
      <c r="B23" s="21" t="s">
        <v>238</v>
      </c>
      <c r="C23" s="42" t="s">
        <v>91</v>
      </c>
      <c r="D23" s="49">
        <f t="shared" si="0"/>
        <v>1300944</v>
      </c>
      <c r="E23" s="84" t="s">
        <v>106</v>
      </c>
      <c r="F23" s="85">
        <v>810000</v>
      </c>
      <c r="G23" s="84"/>
      <c r="H23" s="85"/>
      <c r="I23" s="72" t="s">
        <v>114</v>
      </c>
      <c r="J23" s="73">
        <v>0</v>
      </c>
      <c r="K23" s="72" t="s">
        <v>117</v>
      </c>
      <c r="L23" s="73">
        <v>54844</v>
      </c>
      <c r="M23" s="84" t="s">
        <v>183</v>
      </c>
      <c r="N23" s="85">
        <v>84300</v>
      </c>
      <c r="O23" s="84" t="s">
        <v>171</v>
      </c>
      <c r="P23" s="85">
        <v>0</v>
      </c>
      <c r="Q23" s="72" t="s">
        <v>190</v>
      </c>
      <c r="R23" s="73">
        <v>84300</v>
      </c>
      <c r="S23" s="72" t="s">
        <v>203</v>
      </c>
      <c r="T23" s="73">
        <v>217500</v>
      </c>
      <c r="U23" s="78" t="s">
        <v>130</v>
      </c>
      <c r="V23" s="79">
        <v>0</v>
      </c>
      <c r="W23" s="78" t="s">
        <v>107</v>
      </c>
      <c r="X23" s="79">
        <v>0</v>
      </c>
      <c r="Y23" s="72" t="s">
        <v>212</v>
      </c>
      <c r="Z23" s="73">
        <v>50000</v>
      </c>
    </row>
    <row r="24" spans="1:26" ht="11.25">
      <c r="A24" s="90" t="s">
        <v>276</v>
      </c>
      <c r="B24" s="21" t="s">
        <v>277</v>
      </c>
      <c r="C24" s="42" t="s">
        <v>262</v>
      </c>
      <c r="D24" s="49">
        <f t="shared" si="0"/>
        <v>1300344</v>
      </c>
      <c r="E24" s="84" t="s">
        <v>106</v>
      </c>
      <c r="F24" s="85">
        <v>810000</v>
      </c>
      <c r="G24" s="84"/>
      <c r="H24" s="85"/>
      <c r="I24" s="72" t="s">
        <v>109</v>
      </c>
      <c r="J24" s="73">
        <v>33000</v>
      </c>
      <c r="K24" s="72" t="s">
        <v>117</v>
      </c>
      <c r="L24" s="73">
        <v>54844</v>
      </c>
      <c r="M24" s="84" t="s">
        <v>103</v>
      </c>
      <c r="N24" s="85">
        <v>0</v>
      </c>
      <c r="O24" s="84" t="s">
        <v>171</v>
      </c>
      <c r="P24" s="85">
        <v>0</v>
      </c>
      <c r="Q24" s="72" t="s">
        <v>201</v>
      </c>
      <c r="R24" s="73">
        <v>135000</v>
      </c>
      <c r="S24" s="72" t="s">
        <v>203</v>
      </c>
      <c r="T24" s="73">
        <v>217500</v>
      </c>
      <c r="U24" s="78" t="s">
        <v>130</v>
      </c>
      <c r="V24" s="79">
        <v>0</v>
      </c>
      <c r="W24" s="78" t="s">
        <v>148</v>
      </c>
      <c r="X24" s="79">
        <v>0</v>
      </c>
      <c r="Y24" s="72" t="s">
        <v>212</v>
      </c>
      <c r="Z24" s="73">
        <v>50000</v>
      </c>
    </row>
    <row r="25" spans="1:26" ht="11.25">
      <c r="A25" s="90" t="s">
        <v>299</v>
      </c>
      <c r="B25" s="21" t="s">
        <v>90</v>
      </c>
      <c r="C25" s="42" t="s">
        <v>89</v>
      </c>
      <c r="D25" s="49">
        <f t="shared" si="0"/>
        <v>1297219</v>
      </c>
      <c r="E25" s="84" t="s">
        <v>106</v>
      </c>
      <c r="F25" s="85">
        <v>810000</v>
      </c>
      <c r="G25" s="84"/>
      <c r="H25" s="85"/>
      <c r="I25" s="72" t="s">
        <v>96</v>
      </c>
      <c r="J25" s="73">
        <v>0</v>
      </c>
      <c r="K25" s="72" t="s">
        <v>158</v>
      </c>
      <c r="L25" s="73">
        <v>0</v>
      </c>
      <c r="M25" s="84" t="s">
        <v>115</v>
      </c>
      <c r="N25" s="85">
        <v>54844</v>
      </c>
      <c r="O25" s="84" t="s">
        <v>120</v>
      </c>
      <c r="P25" s="85">
        <v>172500</v>
      </c>
      <c r="Q25" s="72" t="s">
        <v>203</v>
      </c>
      <c r="R25" s="73">
        <v>217500</v>
      </c>
      <c r="S25" s="72" t="s">
        <v>205</v>
      </c>
      <c r="T25" s="73">
        <v>42375</v>
      </c>
      <c r="U25" s="78" t="s">
        <v>130</v>
      </c>
      <c r="V25" s="79">
        <v>0</v>
      </c>
      <c r="W25" s="78" t="s">
        <v>148</v>
      </c>
      <c r="X25" s="79">
        <v>0</v>
      </c>
      <c r="Y25" s="72" t="s">
        <v>211</v>
      </c>
      <c r="Z25" s="73">
        <v>0</v>
      </c>
    </row>
    <row r="26" spans="1:26" ht="11.25">
      <c r="A26" s="90" t="s">
        <v>154</v>
      </c>
      <c r="B26" s="21"/>
      <c r="C26" s="42" t="s">
        <v>91</v>
      </c>
      <c r="D26" s="49">
        <f t="shared" si="0"/>
        <v>1277844</v>
      </c>
      <c r="E26" s="84" t="s">
        <v>106</v>
      </c>
      <c r="F26" s="85">
        <v>810000</v>
      </c>
      <c r="G26" s="84"/>
      <c r="H26" s="85"/>
      <c r="I26" s="72" t="s">
        <v>109</v>
      </c>
      <c r="J26" s="73">
        <v>33000</v>
      </c>
      <c r="K26" s="72" t="s">
        <v>117</v>
      </c>
      <c r="L26" s="73">
        <v>54844</v>
      </c>
      <c r="M26" s="84" t="s">
        <v>171</v>
      </c>
      <c r="N26" s="85">
        <v>0</v>
      </c>
      <c r="O26" s="84" t="s">
        <v>97</v>
      </c>
      <c r="P26" s="85">
        <v>112500</v>
      </c>
      <c r="Q26" s="72" t="s">
        <v>188</v>
      </c>
      <c r="R26" s="73">
        <v>0</v>
      </c>
      <c r="S26" s="72" t="s">
        <v>121</v>
      </c>
      <c r="T26" s="73">
        <v>217500</v>
      </c>
      <c r="U26" s="78" t="s">
        <v>130</v>
      </c>
      <c r="V26" s="79">
        <v>0</v>
      </c>
      <c r="W26" s="78" t="s">
        <v>167</v>
      </c>
      <c r="X26" s="79">
        <v>0</v>
      </c>
      <c r="Y26" s="72" t="s">
        <v>212</v>
      </c>
      <c r="Z26" s="73">
        <v>50000</v>
      </c>
    </row>
    <row r="27" spans="1:26" ht="11.25">
      <c r="A27" s="90" t="s">
        <v>222</v>
      </c>
      <c r="B27" s="21" t="s">
        <v>221</v>
      </c>
      <c r="C27" s="42" t="s">
        <v>91</v>
      </c>
      <c r="D27" s="49">
        <f t="shared" si="0"/>
        <v>1250344</v>
      </c>
      <c r="E27" s="84" t="s">
        <v>106</v>
      </c>
      <c r="F27" s="85">
        <v>810000</v>
      </c>
      <c r="G27" s="84"/>
      <c r="H27" s="85"/>
      <c r="I27" s="72" t="s">
        <v>117</v>
      </c>
      <c r="J27" s="73">
        <v>54844</v>
      </c>
      <c r="K27" s="72" t="s">
        <v>109</v>
      </c>
      <c r="L27" s="73">
        <v>33000</v>
      </c>
      <c r="M27" s="84" t="s">
        <v>171</v>
      </c>
      <c r="N27" s="85">
        <v>0</v>
      </c>
      <c r="O27" s="84" t="s">
        <v>103</v>
      </c>
      <c r="P27" s="85">
        <v>0</v>
      </c>
      <c r="Q27" s="72" t="s">
        <v>201</v>
      </c>
      <c r="R27" s="73">
        <v>135000</v>
      </c>
      <c r="S27" s="72" t="s">
        <v>203</v>
      </c>
      <c r="T27" s="73">
        <v>217500</v>
      </c>
      <c r="U27" s="78" t="s">
        <v>130</v>
      </c>
      <c r="V27" s="79">
        <v>0</v>
      </c>
      <c r="W27" s="78" t="s">
        <v>167</v>
      </c>
      <c r="X27" s="79">
        <v>0</v>
      </c>
      <c r="Y27" s="72" t="s">
        <v>211</v>
      </c>
      <c r="Z27" s="73">
        <v>0</v>
      </c>
    </row>
    <row r="28" spans="1:26" ht="11.25">
      <c r="A28" s="90" t="s">
        <v>223</v>
      </c>
      <c r="B28" s="21" t="s">
        <v>90</v>
      </c>
      <c r="C28" s="42" t="s">
        <v>89</v>
      </c>
      <c r="D28" s="49">
        <f t="shared" si="0"/>
        <v>1172344</v>
      </c>
      <c r="E28" s="84" t="s">
        <v>106</v>
      </c>
      <c r="F28" s="85">
        <v>810000</v>
      </c>
      <c r="G28" s="84"/>
      <c r="H28" s="85"/>
      <c r="I28" s="72" t="s">
        <v>101</v>
      </c>
      <c r="J28" s="73">
        <v>0</v>
      </c>
      <c r="K28" s="72" t="s">
        <v>94</v>
      </c>
      <c r="L28" s="73">
        <v>0</v>
      </c>
      <c r="M28" s="84" t="s">
        <v>131</v>
      </c>
      <c r="N28" s="85">
        <v>54844</v>
      </c>
      <c r="O28" s="84" t="s">
        <v>120</v>
      </c>
      <c r="P28" s="85">
        <v>172500</v>
      </c>
      <c r="Q28" s="72" t="s">
        <v>201</v>
      </c>
      <c r="R28" s="73">
        <v>135000</v>
      </c>
      <c r="S28" s="72" t="s">
        <v>191</v>
      </c>
      <c r="T28" s="73">
        <v>0</v>
      </c>
      <c r="U28" s="78" t="s">
        <v>148</v>
      </c>
      <c r="V28" s="79">
        <v>0</v>
      </c>
      <c r="W28" s="78" t="s">
        <v>130</v>
      </c>
      <c r="X28" s="79">
        <v>0</v>
      </c>
      <c r="Y28" s="72" t="s">
        <v>211</v>
      </c>
      <c r="Z28" s="73">
        <v>0</v>
      </c>
    </row>
    <row r="29" spans="1:26" ht="11.25">
      <c r="A29" s="91" t="s">
        <v>149</v>
      </c>
      <c r="B29" s="21" t="s">
        <v>300</v>
      </c>
      <c r="C29" s="43" t="s">
        <v>91</v>
      </c>
      <c r="D29" s="49">
        <f t="shared" si="0"/>
        <v>1113594</v>
      </c>
      <c r="E29" s="84" t="s">
        <v>106</v>
      </c>
      <c r="F29" s="85">
        <v>810000</v>
      </c>
      <c r="G29" s="84"/>
      <c r="H29" s="85"/>
      <c r="I29" s="72" t="s">
        <v>84</v>
      </c>
      <c r="J29" s="73">
        <v>30750</v>
      </c>
      <c r="K29" s="72" t="s">
        <v>109</v>
      </c>
      <c r="L29" s="73">
        <v>33000</v>
      </c>
      <c r="M29" s="84" t="s">
        <v>171</v>
      </c>
      <c r="N29" s="85">
        <v>0</v>
      </c>
      <c r="O29" s="84" t="s">
        <v>185</v>
      </c>
      <c r="P29" s="85">
        <v>54844</v>
      </c>
      <c r="Q29" s="72" t="s">
        <v>201</v>
      </c>
      <c r="R29" s="73">
        <v>135000</v>
      </c>
      <c r="S29" s="72" t="s">
        <v>191</v>
      </c>
      <c r="T29" s="73">
        <v>0</v>
      </c>
      <c r="U29" s="78" t="s">
        <v>130</v>
      </c>
      <c r="V29" s="79">
        <v>0</v>
      </c>
      <c r="W29" s="78" t="s">
        <v>216</v>
      </c>
      <c r="X29" s="79">
        <v>0</v>
      </c>
      <c r="Y29" s="72" t="s">
        <v>212</v>
      </c>
      <c r="Z29" s="73">
        <v>50000</v>
      </c>
    </row>
    <row r="30" spans="1:26" ht="11.25">
      <c r="A30" s="90" t="s">
        <v>113</v>
      </c>
      <c r="B30" s="21" t="s">
        <v>231</v>
      </c>
      <c r="C30" s="42" t="s">
        <v>91</v>
      </c>
      <c r="D30" s="49">
        <f t="shared" si="0"/>
        <v>1113594</v>
      </c>
      <c r="E30" s="84" t="s">
        <v>106</v>
      </c>
      <c r="F30" s="85">
        <v>810000</v>
      </c>
      <c r="G30" s="84"/>
      <c r="H30" s="85"/>
      <c r="I30" s="72" t="s">
        <v>95</v>
      </c>
      <c r="J30" s="73">
        <v>54844</v>
      </c>
      <c r="K30" s="72" t="s">
        <v>84</v>
      </c>
      <c r="L30" s="73">
        <v>30750</v>
      </c>
      <c r="M30" s="84" t="s">
        <v>127</v>
      </c>
      <c r="N30" s="85">
        <v>33000</v>
      </c>
      <c r="O30" s="84" t="s">
        <v>171</v>
      </c>
      <c r="P30" s="85">
        <v>0</v>
      </c>
      <c r="Q30" s="72" t="s">
        <v>201</v>
      </c>
      <c r="R30" s="73">
        <v>135000</v>
      </c>
      <c r="S30" s="72" t="s">
        <v>209</v>
      </c>
      <c r="T30" s="73">
        <v>0</v>
      </c>
      <c r="U30" s="78" t="s">
        <v>148</v>
      </c>
      <c r="V30" s="79">
        <v>0</v>
      </c>
      <c r="W30" s="78" t="s">
        <v>111</v>
      </c>
      <c r="X30" s="79">
        <v>0</v>
      </c>
      <c r="Y30" s="72" t="s">
        <v>212</v>
      </c>
      <c r="Z30" s="73">
        <v>50000</v>
      </c>
    </row>
    <row r="31" spans="1:26" ht="11.25">
      <c r="A31" s="90" t="s">
        <v>162</v>
      </c>
      <c r="B31" s="21" t="s">
        <v>345</v>
      </c>
      <c r="C31" s="42" t="s">
        <v>91</v>
      </c>
      <c r="D31" s="49">
        <f t="shared" si="0"/>
        <v>1093050</v>
      </c>
      <c r="E31" s="84" t="s">
        <v>106</v>
      </c>
      <c r="F31" s="85">
        <v>810000</v>
      </c>
      <c r="G31" s="84"/>
      <c r="H31" s="85"/>
      <c r="I31" s="72" t="s">
        <v>84</v>
      </c>
      <c r="J31" s="73">
        <v>30750</v>
      </c>
      <c r="K31" s="72" t="s">
        <v>109</v>
      </c>
      <c r="L31" s="73">
        <v>33000</v>
      </c>
      <c r="M31" s="84" t="s">
        <v>183</v>
      </c>
      <c r="N31" s="85">
        <v>84300</v>
      </c>
      <c r="O31" s="84" t="s">
        <v>186</v>
      </c>
      <c r="P31" s="85">
        <v>0</v>
      </c>
      <c r="Q31" s="72" t="s">
        <v>191</v>
      </c>
      <c r="R31" s="73">
        <v>0</v>
      </c>
      <c r="S31" s="72" t="s">
        <v>201</v>
      </c>
      <c r="T31" s="73">
        <v>135000</v>
      </c>
      <c r="U31" s="78" t="s">
        <v>130</v>
      </c>
      <c r="V31" s="79">
        <v>0</v>
      </c>
      <c r="W31" s="78" t="s">
        <v>148</v>
      </c>
      <c r="X31" s="79">
        <v>0</v>
      </c>
      <c r="Y31" s="72" t="s">
        <v>211</v>
      </c>
      <c r="Z31" s="73">
        <v>0</v>
      </c>
    </row>
    <row r="32" spans="1:26" ht="11.25">
      <c r="A32" s="90" t="s">
        <v>287</v>
      </c>
      <c r="B32" s="21" t="s">
        <v>288</v>
      </c>
      <c r="C32" s="42" t="s">
        <v>91</v>
      </c>
      <c r="D32" s="49">
        <f t="shared" si="0"/>
        <v>1084144</v>
      </c>
      <c r="E32" s="84" t="s">
        <v>106</v>
      </c>
      <c r="F32" s="85">
        <v>810000</v>
      </c>
      <c r="G32" s="84"/>
      <c r="H32" s="85"/>
      <c r="I32" s="72" t="s">
        <v>126</v>
      </c>
      <c r="J32" s="73">
        <v>0</v>
      </c>
      <c r="K32" s="72" t="s">
        <v>105</v>
      </c>
      <c r="L32" s="73">
        <v>84300</v>
      </c>
      <c r="M32" s="84" t="s">
        <v>103</v>
      </c>
      <c r="N32" s="85">
        <v>0</v>
      </c>
      <c r="O32" s="84" t="s">
        <v>125</v>
      </c>
      <c r="P32" s="85">
        <v>54844</v>
      </c>
      <c r="Q32" s="72" t="s">
        <v>201</v>
      </c>
      <c r="R32" s="73">
        <v>135000</v>
      </c>
      <c r="S32" s="72" t="s">
        <v>198</v>
      </c>
      <c r="T32" s="73">
        <v>0</v>
      </c>
      <c r="U32" s="78" t="s">
        <v>130</v>
      </c>
      <c r="V32" s="79">
        <v>0</v>
      </c>
      <c r="W32" s="78" t="s">
        <v>107</v>
      </c>
      <c r="X32" s="79">
        <v>0</v>
      </c>
      <c r="Y32" s="72" t="s">
        <v>212</v>
      </c>
      <c r="Z32" s="73"/>
    </row>
    <row r="33" spans="1:26" ht="11.25">
      <c r="A33" s="90" t="s">
        <v>86</v>
      </c>
      <c r="B33" s="21" t="s">
        <v>250</v>
      </c>
      <c r="C33" s="42" t="s">
        <v>89</v>
      </c>
      <c r="D33" s="49">
        <f t="shared" si="0"/>
        <v>1066800</v>
      </c>
      <c r="E33" s="84" t="s">
        <v>106</v>
      </c>
      <c r="F33" s="85">
        <v>810000</v>
      </c>
      <c r="G33" s="84"/>
      <c r="H33" s="85"/>
      <c r="I33" s="72" t="s">
        <v>307</v>
      </c>
      <c r="J33" s="73">
        <v>172500</v>
      </c>
      <c r="K33" s="72" t="s">
        <v>126</v>
      </c>
      <c r="L33" s="73">
        <v>0</v>
      </c>
      <c r="M33" s="84" t="s">
        <v>104</v>
      </c>
      <c r="N33" s="85">
        <v>0</v>
      </c>
      <c r="O33" s="84" t="s">
        <v>103</v>
      </c>
      <c r="P33" s="85">
        <v>0</v>
      </c>
      <c r="Q33" s="72" t="s">
        <v>190</v>
      </c>
      <c r="R33" s="73">
        <v>84300</v>
      </c>
      <c r="S33" s="72" t="s">
        <v>202</v>
      </c>
      <c r="T33" s="73">
        <v>0</v>
      </c>
      <c r="U33" s="78" t="s">
        <v>130</v>
      </c>
      <c r="V33" s="79">
        <v>0</v>
      </c>
      <c r="W33" s="78" t="s">
        <v>148</v>
      </c>
      <c r="X33" s="79">
        <v>0</v>
      </c>
      <c r="Y33" s="72" t="s">
        <v>211</v>
      </c>
      <c r="Z33" s="73">
        <v>0</v>
      </c>
    </row>
    <row r="34" spans="1:26" ht="11.25">
      <c r="A34" s="90" t="s">
        <v>266</v>
      </c>
      <c r="B34" s="21" t="s">
        <v>265</v>
      </c>
      <c r="C34" s="42" t="s">
        <v>262</v>
      </c>
      <c r="D34" s="49">
        <f aca="true" t="shared" si="1" ref="D34:D65">SUM(F34)+H34+J34+L34+N34+P34+R34+T34+V34+X34+Z34</f>
        <v>1066594</v>
      </c>
      <c r="E34" s="84" t="s">
        <v>100</v>
      </c>
      <c r="F34" s="85">
        <v>273750</v>
      </c>
      <c r="G34" s="84" t="s">
        <v>93</v>
      </c>
      <c r="H34" s="85">
        <v>135000</v>
      </c>
      <c r="I34" s="72" t="s">
        <v>95</v>
      </c>
      <c r="J34" s="73">
        <v>54844</v>
      </c>
      <c r="K34" s="72" t="s">
        <v>109</v>
      </c>
      <c r="L34" s="73">
        <v>33000</v>
      </c>
      <c r="M34" s="84" t="s">
        <v>103</v>
      </c>
      <c r="N34" s="85">
        <v>0</v>
      </c>
      <c r="O34" s="84" t="s">
        <v>170</v>
      </c>
      <c r="P34" s="85">
        <v>0</v>
      </c>
      <c r="Q34" s="72" t="s">
        <v>201</v>
      </c>
      <c r="R34" s="73">
        <v>135000</v>
      </c>
      <c r="S34" s="72" t="s">
        <v>206</v>
      </c>
      <c r="T34" s="73">
        <v>435000</v>
      </c>
      <c r="U34" s="78" t="s">
        <v>130</v>
      </c>
      <c r="V34" s="79">
        <v>0</v>
      </c>
      <c r="W34" s="78" t="s">
        <v>167</v>
      </c>
      <c r="X34" s="79">
        <v>0</v>
      </c>
      <c r="Y34" s="72" t="s">
        <v>210</v>
      </c>
      <c r="Z34" s="73">
        <v>0</v>
      </c>
    </row>
    <row r="35" spans="1:26" ht="11.25">
      <c r="A35" s="90" t="s">
        <v>224</v>
      </c>
      <c r="B35" s="21" t="s">
        <v>90</v>
      </c>
      <c r="C35" s="42" t="s">
        <v>89</v>
      </c>
      <c r="D35" s="49">
        <f t="shared" si="1"/>
        <v>1027500</v>
      </c>
      <c r="E35" s="84" t="s">
        <v>106</v>
      </c>
      <c r="F35" s="85">
        <v>810000</v>
      </c>
      <c r="G35" s="84"/>
      <c r="H35" s="85"/>
      <c r="I35" s="72" t="s">
        <v>102</v>
      </c>
      <c r="J35" s="73">
        <v>217500</v>
      </c>
      <c r="K35" s="72" t="s">
        <v>94</v>
      </c>
      <c r="L35" s="73">
        <v>0</v>
      </c>
      <c r="M35" s="84" t="s">
        <v>124</v>
      </c>
      <c r="N35" s="85">
        <v>0</v>
      </c>
      <c r="O35" s="84" t="s">
        <v>187</v>
      </c>
      <c r="P35" s="85">
        <v>0</v>
      </c>
      <c r="Q35" s="72" t="s">
        <v>208</v>
      </c>
      <c r="R35" s="73">
        <v>0</v>
      </c>
      <c r="S35" s="72" t="s">
        <v>204</v>
      </c>
      <c r="T35" s="73">
        <v>0</v>
      </c>
      <c r="U35" s="78" t="s">
        <v>148</v>
      </c>
      <c r="V35" s="79">
        <v>0</v>
      </c>
      <c r="W35" s="78" t="s">
        <v>130</v>
      </c>
      <c r="X35" s="79">
        <v>0</v>
      </c>
      <c r="Y35" s="72" t="s">
        <v>211</v>
      </c>
      <c r="Z35" s="73">
        <v>0</v>
      </c>
    </row>
    <row r="36" spans="1:26" ht="11.25">
      <c r="A36" s="90" t="s">
        <v>267</v>
      </c>
      <c r="B36" s="21" t="s">
        <v>265</v>
      </c>
      <c r="C36" s="42" t="s">
        <v>262</v>
      </c>
      <c r="D36" s="49">
        <f t="shared" si="1"/>
        <v>1013250</v>
      </c>
      <c r="E36" s="84" t="s">
        <v>106</v>
      </c>
      <c r="F36" s="85">
        <v>810000</v>
      </c>
      <c r="G36" s="84"/>
      <c r="H36" s="85"/>
      <c r="I36" s="72" t="s">
        <v>84</v>
      </c>
      <c r="J36" s="73">
        <v>30750</v>
      </c>
      <c r="K36" s="72" t="s">
        <v>114</v>
      </c>
      <c r="L36" s="73">
        <v>0</v>
      </c>
      <c r="M36" s="84" t="s">
        <v>120</v>
      </c>
      <c r="N36" s="85">
        <v>172500</v>
      </c>
      <c r="O36" s="84" t="s">
        <v>171</v>
      </c>
      <c r="P36" s="85">
        <v>0</v>
      </c>
      <c r="Q36" s="72" t="s">
        <v>196</v>
      </c>
      <c r="R36" s="73">
        <v>0</v>
      </c>
      <c r="S36" s="72" t="s">
        <v>197</v>
      </c>
      <c r="T36" s="73">
        <v>0</v>
      </c>
      <c r="U36" s="78" t="s">
        <v>130</v>
      </c>
      <c r="V36" s="79">
        <v>0</v>
      </c>
      <c r="W36" s="78" t="s">
        <v>167</v>
      </c>
      <c r="X36" s="79">
        <v>0</v>
      </c>
      <c r="Y36" s="72" t="s">
        <v>211</v>
      </c>
      <c r="Z36" s="73">
        <v>0</v>
      </c>
    </row>
    <row r="37" spans="1:26" ht="11.25">
      <c r="A37" s="90" t="s">
        <v>234</v>
      </c>
      <c r="B37" s="21" t="s">
        <v>132</v>
      </c>
      <c r="C37" s="42" t="s">
        <v>91</v>
      </c>
      <c r="D37" s="49">
        <f t="shared" si="1"/>
        <v>1011925</v>
      </c>
      <c r="E37" s="84" t="s">
        <v>106</v>
      </c>
      <c r="F37" s="85">
        <v>810000</v>
      </c>
      <c r="G37" s="84"/>
      <c r="H37" s="85"/>
      <c r="I37" s="72" t="s">
        <v>84</v>
      </c>
      <c r="J37" s="73">
        <v>30750</v>
      </c>
      <c r="K37" s="72" t="s">
        <v>145</v>
      </c>
      <c r="L37" s="73">
        <v>36875</v>
      </c>
      <c r="M37" s="84" t="s">
        <v>112</v>
      </c>
      <c r="N37" s="85">
        <v>0</v>
      </c>
      <c r="O37" s="84" t="s">
        <v>103</v>
      </c>
      <c r="P37" s="85">
        <v>0</v>
      </c>
      <c r="Q37" s="72" t="s">
        <v>190</v>
      </c>
      <c r="R37" s="73">
        <v>84300</v>
      </c>
      <c r="S37" s="72" t="s">
        <v>204</v>
      </c>
      <c r="T37" s="73">
        <v>0</v>
      </c>
      <c r="U37" s="78" t="s">
        <v>130</v>
      </c>
      <c r="V37" s="79">
        <v>0</v>
      </c>
      <c r="W37" s="78" t="s">
        <v>167</v>
      </c>
      <c r="X37" s="79">
        <v>0</v>
      </c>
      <c r="Y37" s="72" t="s">
        <v>212</v>
      </c>
      <c r="Z37" s="73">
        <v>50000</v>
      </c>
    </row>
    <row r="38" spans="1:26" ht="11.25">
      <c r="A38" s="90" t="s">
        <v>263</v>
      </c>
      <c r="B38" s="21" t="s">
        <v>275</v>
      </c>
      <c r="C38" s="42" t="s">
        <v>262</v>
      </c>
      <c r="D38" s="49">
        <f t="shared" si="1"/>
        <v>1011094</v>
      </c>
      <c r="E38" s="84" t="s">
        <v>141</v>
      </c>
      <c r="F38" s="85">
        <v>112500</v>
      </c>
      <c r="G38" s="84" t="s">
        <v>108</v>
      </c>
      <c r="H38" s="85">
        <v>135000</v>
      </c>
      <c r="I38" s="72" t="s">
        <v>117</v>
      </c>
      <c r="J38" s="73">
        <v>54844</v>
      </c>
      <c r="K38" s="72" t="s">
        <v>114</v>
      </c>
      <c r="L38" s="73">
        <v>0</v>
      </c>
      <c r="M38" s="84" t="s">
        <v>171</v>
      </c>
      <c r="N38" s="85">
        <v>0</v>
      </c>
      <c r="O38" s="84" t="s">
        <v>129</v>
      </c>
      <c r="P38" s="85">
        <v>0</v>
      </c>
      <c r="Q38" s="72" t="s">
        <v>193</v>
      </c>
      <c r="R38" s="73">
        <v>273750</v>
      </c>
      <c r="S38" s="72" t="s">
        <v>206</v>
      </c>
      <c r="T38" s="73">
        <v>435000</v>
      </c>
      <c r="U38" s="78" t="s">
        <v>130</v>
      </c>
      <c r="V38" s="79">
        <v>0</v>
      </c>
      <c r="W38" s="78" t="s">
        <v>148</v>
      </c>
      <c r="X38" s="79">
        <v>0</v>
      </c>
      <c r="Y38" s="72" t="s">
        <v>211</v>
      </c>
      <c r="Z38" s="73">
        <v>0</v>
      </c>
    </row>
    <row r="39" spans="1:26" ht="11.25">
      <c r="A39" s="90" t="s">
        <v>226</v>
      </c>
      <c r="B39" s="21" t="s">
        <v>227</v>
      </c>
      <c r="C39" s="43" t="s">
        <v>91</v>
      </c>
      <c r="D39" s="49">
        <f t="shared" si="1"/>
        <v>999144</v>
      </c>
      <c r="E39" s="84" t="s">
        <v>106</v>
      </c>
      <c r="F39" s="85">
        <v>810000</v>
      </c>
      <c r="G39" s="84"/>
      <c r="H39" s="85"/>
      <c r="I39" s="72" t="s">
        <v>117</v>
      </c>
      <c r="J39" s="73">
        <v>54844</v>
      </c>
      <c r="K39" s="72" t="s">
        <v>126</v>
      </c>
      <c r="L39" s="73">
        <v>0</v>
      </c>
      <c r="M39" s="84" t="s">
        <v>171</v>
      </c>
      <c r="N39" s="85">
        <v>0</v>
      </c>
      <c r="O39" s="84" t="s">
        <v>183</v>
      </c>
      <c r="P39" s="85">
        <v>84300</v>
      </c>
      <c r="Q39" s="72" t="s">
        <v>188</v>
      </c>
      <c r="R39" s="73">
        <v>0</v>
      </c>
      <c r="S39" s="72" t="s">
        <v>191</v>
      </c>
      <c r="T39" s="73">
        <v>0</v>
      </c>
      <c r="U39" s="78" t="s">
        <v>148</v>
      </c>
      <c r="V39" s="79">
        <v>0</v>
      </c>
      <c r="W39" s="78" t="s">
        <v>130</v>
      </c>
      <c r="X39" s="79">
        <v>0</v>
      </c>
      <c r="Y39" s="72" t="s">
        <v>212</v>
      </c>
      <c r="Z39" s="73">
        <v>50000</v>
      </c>
    </row>
    <row r="40" spans="1:31" ht="11.25">
      <c r="A40" s="90" t="s">
        <v>247</v>
      </c>
      <c r="B40" s="21" t="s">
        <v>246</v>
      </c>
      <c r="C40" s="42" t="s">
        <v>91</v>
      </c>
      <c r="D40" s="49">
        <f t="shared" si="1"/>
        <v>990219</v>
      </c>
      <c r="E40" s="84" t="s">
        <v>106</v>
      </c>
      <c r="F40" s="85">
        <v>810000</v>
      </c>
      <c r="G40" s="84"/>
      <c r="H40" s="85"/>
      <c r="I40" s="72" t="s">
        <v>109</v>
      </c>
      <c r="J40" s="73">
        <v>33000</v>
      </c>
      <c r="K40" s="72" t="s">
        <v>114</v>
      </c>
      <c r="L40" s="73">
        <v>0</v>
      </c>
      <c r="M40" s="84" t="s">
        <v>186</v>
      </c>
      <c r="N40" s="85">
        <v>0</v>
      </c>
      <c r="O40" s="84" t="s">
        <v>131</v>
      </c>
      <c r="P40" s="85">
        <v>54844</v>
      </c>
      <c r="Q40" s="72" t="s">
        <v>191</v>
      </c>
      <c r="R40" s="73">
        <v>0</v>
      </c>
      <c r="S40" s="72" t="s">
        <v>205</v>
      </c>
      <c r="T40" s="73">
        <v>42375</v>
      </c>
      <c r="U40" s="78" t="s">
        <v>130</v>
      </c>
      <c r="V40" s="79">
        <v>0</v>
      </c>
      <c r="W40" s="78" t="s">
        <v>148</v>
      </c>
      <c r="X40" s="79">
        <v>0</v>
      </c>
      <c r="Y40" s="72" t="s">
        <v>212</v>
      </c>
      <c r="Z40" s="73">
        <v>50000</v>
      </c>
      <c r="AE40" s="46"/>
    </row>
    <row r="41" spans="1:26" ht="11.25">
      <c r="A41" s="90" t="s">
        <v>233</v>
      </c>
      <c r="B41" s="21" t="s">
        <v>232</v>
      </c>
      <c r="C41" s="42" t="s">
        <v>244</v>
      </c>
      <c r="D41" s="49">
        <f t="shared" si="1"/>
        <v>970969</v>
      </c>
      <c r="E41" s="84" t="s">
        <v>106</v>
      </c>
      <c r="F41" s="85">
        <v>810000</v>
      </c>
      <c r="G41" s="84"/>
      <c r="H41" s="85"/>
      <c r="I41" s="72" t="s">
        <v>84</v>
      </c>
      <c r="J41" s="73">
        <v>30750</v>
      </c>
      <c r="K41" s="72" t="s">
        <v>109</v>
      </c>
      <c r="L41" s="73">
        <v>33000</v>
      </c>
      <c r="M41" s="84" t="s">
        <v>171</v>
      </c>
      <c r="N41" s="85">
        <v>0</v>
      </c>
      <c r="O41" s="84" t="s">
        <v>131</v>
      </c>
      <c r="P41" s="85">
        <v>54844</v>
      </c>
      <c r="Q41" s="72" t="s">
        <v>191</v>
      </c>
      <c r="R41" s="73">
        <v>0</v>
      </c>
      <c r="S41" s="72" t="s">
        <v>192</v>
      </c>
      <c r="T41" s="73">
        <v>42375</v>
      </c>
      <c r="U41" s="78" t="s">
        <v>130</v>
      </c>
      <c r="V41" s="79">
        <v>0</v>
      </c>
      <c r="W41" s="78" t="s">
        <v>107</v>
      </c>
      <c r="X41" s="79">
        <v>0</v>
      </c>
      <c r="Y41" s="72" t="s">
        <v>210</v>
      </c>
      <c r="Z41" s="73">
        <v>0</v>
      </c>
    </row>
    <row r="42" spans="1:26" ht="11.25">
      <c r="A42" s="90" t="s">
        <v>213</v>
      </c>
      <c r="B42" s="21" t="s">
        <v>215</v>
      </c>
      <c r="C42" s="42" t="s">
        <v>91</v>
      </c>
      <c r="D42" s="49">
        <f t="shared" si="1"/>
        <v>969688</v>
      </c>
      <c r="E42" s="84" t="s">
        <v>106</v>
      </c>
      <c r="F42" s="85">
        <v>810000</v>
      </c>
      <c r="G42" s="84"/>
      <c r="H42" s="85"/>
      <c r="I42" s="72" t="s">
        <v>117</v>
      </c>
      <c r="J42" s="73">
        <v>54844</v>
      </c>
      <c r="K42" s="72" t="s">
        <v>158</v>
      </c>
      <c r="L42" s="73">
        <v>0</v>
      </c>
      <c r="M42" s="84" t="s">
        <v>104</v>
      </c>
      <c r="N42" s="85">
        <v>0</v>
      </c>
      <c r="O42" s="84" t="s">
        <v>185</v>
      </c>
      <c r="P42" s="85">
        <v>54844</v>
      </c>
      <c r="Q42" s="72" t="s">
        <v>191</v>
      </c>
      <c r="R42" s="73">
        <v>0</v>
      </c>
      <c r="S42" s="72" t="s">
        <v>204</v>
      </c>
      <c r="T42" s="73">
        <v>0</v>
      </c>
      <c r="U42" s="78" t="s">
        <v>130</v>
      </c>
      <c r="V42" s="79">
        <v>0</v>
      </c>
      <c r="W42" s="78" t="s">
        <v>167</v>
      </c>
      <c r="X42" s="79">
        <v>0</v>
      </c>
      <c r="Y42" s="72" t="s">
        <v>212</v>
      </c>
      <c r="Z42" s="73">
        <v>50000</v>
      </c>
    </row>
    <row r="43" spans="1:26" ht="11.25">
      <c r="A43" s="90" t="s">
        <v>261</v>
      </c>
      <c r="B43" s="21" t="s">
        <v>260</v>
      </c>
      <c r="C43" s="42" t="s">
        <v>91</v>
      </c>
      <c r="D43" s="49">
        <f t="shared" si="1"/>
        <v>944094</v>
      </c>
      <c r="E43" s="84" t="s">
        <v>106</v>
      </c>
      <c r="F43" s="85">
        <v>810000</v>
      </c>
      <c r="G43" s="84"/>
      <c r="H43" s="85"/>
      <c r="I43" s="72" t="s">
        <v>117</v>
      </c>
      <c r="J43" s="73">
        <v>54844</v>
      </c>
      <c r="K43" s="72" t="s">
        <v>114</v>
      </c>
      <c r="L43" s="73">
        <v>0</v>
      </c>
      <c r="M43" s="84" t="s">
        <v>171</v>
      </c>
      <c r="N43" s="85">
        <v>0</v>
      </c>
      <c r="O43" s="84" t="s">
        <v>152</v>
      </c>
      <c r="P43" s="85">
        <v>0</v>
      </c>
      <c r="Q43" s="72" t="s">
        <v>153</v>
      </c>
      <c r="R43" s="73">
        <v>36875</v>
      </c>
      <c r="S43" s="72" t="s">
        <v>205</v>
      </c>
      <c r="T43" s="73">
        <v>42375</v>
      </c>
      <c r="U43" s="78" t="s">
        <v>130</v>
      </c>
      <c r="V43" s="79">
        <v>0</v>
      </c>
      <c r="W43" s="78" t="s">
        <v>167</v>
      </c>
      <c r="X43" s="79">
        <v>0</v>
      </c>
      <c r="Y43" s="72" t="s">
        <v>211</v>
      </c>
      <c r="Z43" s="73">
        <v>0</v>
      </c>
    </row>
    <row r="44" spans="1:26" ht="11.25">
      <c r="A44" s="90" t="s">
        <v>1</v>
      </c>
      <c r="B44" s="21" t="s">
        <v>250</v>
      </c>
      <c r="C44" s="42" t="s">
        <v>89</v>
      </c>
      <c r="D44" s="49">
        <f t="shared" si="1"/>
        <v>937894</v>
      </c>
      <c r="E44" s="84" t="s">
        <v>100</v>
      </c>
      <c r="F44" s="85">
        <v>273750</v>
      </c>
      <c r="G44" s="84" t="s">
        <v>93</v>
      </c>
      <c r="H44" s="85">
        <v>135000</v>
      </c>
      <c r="I44" s="72" t="s">
        <v>150</v>
      </c>
      <c r="J44" s="73">
        <v>0</v>
      </c>
      <c r="K44" s="72" t="s">
        <v>102</v>
      </c>
      <c r="L44" s="73">
        <v>217500</v>
      </c>
      <c r="M44" s="84" t="s">
        <v>171</v>
      </c>
      <c r="N44" s="85">
        <v>0</v>
      </c>
      <c r="O44" s="84" t="s">
        <v>122</v>
      </c>
      <c r="P44" s="85">
        <v>54844</v>
      </c>
      <c r="Q44" s="72" t="s">
        <v>189</v>
      </c>
      <c r="R44" s="73">
        <v>84300</v>
      </c>
      <c r="S44" s="72" t="s">
        <v>199</v>
      </c>
      <c r="T44" s="73">
        <v>172500</v>
      </c>
      <c r="U44" s="78" t="s">
        <v>130</v>
      </c>
      <c r="V44" s="79">
        <v>0</v>
      </c>
      <c r="W44" s="78" t="s">
        <v>148</v>
      </c>
      <c r="X44" s="79">
        <v>0</v>
      </c>
      <c r="Y44" s="72" t="s">
        <v>211</v>
      </c>
      <c r="Z44" s="73">
        <v>0</v>
      </c>
    </row>
    <row r="45" spans="1:26" ht="11.25">
      <c r="A45" s="90" t="s">
        <v>146</v>
      </c>
      <c r="B45" s="21" t="s">
        <v>147</v>
      </c>
      <c r="C45" s="42" t="s">
        <v>262</v>
      </c>
      <c r="D45" s="49">
        <f t="shared" si="1"/>
        <v>928594</v>
      </c>
      <c r="E45" s="84" t="s">
        <v>137</v>
      </c>
      <c r="F45" s="85">
        <v>273750</v>
      </c>
      <c r="G45" s="84" t="s">
        <v>93</v>
      </c>
      <c r="H45" s="85">
        <v>135000</v>
      </c>
      <c r="I45" s="72" t="s">
        <v>117</v>
      </c>
      <c r="J45" s="73">
        <v>54844</v>
      </c>
      <c r="K45" s="72" t="s">
        <v>114</v>
      </c>
      <c r="L45" s="73">
        <v>0</v>
      </c>
      <c r="M45" s="84" t="s">
        <v>152</v>
      </c>
      <c r="N45" s="85">
        <v>0</v>
      </c>
      <c r="O45" s="84" t="s">
        <v>97</v>
      </c>
      <c r="P45" s="85">
        <v>112500</v>
      </c>
      <c r="Q45" s="72" t="s">
        <v>201</v>
      </c>
      <c r="R45" s="73">
        <v>135000</v>
      </c>
      <c r="S45" s="72" t="s">
        <v>203</v>
      </c>
      <c r="T45" s="73">
        <v>217500</v>
      </c>
      <c r="U45" s="78" t="s">
        <v>130</v>
      </c>
      <c r="V45" s="79">
        <v>0</v>
      </c>
      <c r="W45" s="78" t="s">
        <v>148</v>
      </c>
      <c r="X45" s="79">
        <v>0</v>
      </c>
      <c r="Y45" s="72" t="s">
        <v>211</v>
      </c>
      <c r="Z45" s="73">
        <v>0</v>
      </c>
    </row>
    <row r="46" spans="1:26" ht="11.25">
      <c r="A46" s="90" t="s">
        <v>281</v>
      </c>
      <c r="B46" s="21" t="s">
        <v>282</v>
      </c>
      <c r="C46" s="42" t="s">
        <v>283</v>
      </c>
      <c r="D46" s="49">
        <f t="shared" si="1"/>
        <v>927625</v>
      </c>
      <c r="E46" s="84" t="s">
        <v>106</v>
      </c>
      <c r="F46" s="85">
        <v>810000</v>
      </c>
      <c r="G46" s="84"/>
      <c r="H46" s="85"/>
      <c r="I46" s="72" t="s">
        <v>84</v>
      </c>
      <c r="J46" s="73">
        <v>30750</v>
      </c>
      <c r="K46" s="72" t="s">
        <v>145</v>
      </c>
      <c r="L46" s="73">
        <v>36875</v>
      </c>
      <c r="M46" s="84" t="s">
        <v>103</v>
      </c>
      <c r="N46" s="85">
        <v>0</v>
      </c>
      <c r="O46" s="84" t="s">
        <v>171</v>
      </c>
      <c r="P46" s="85">
        <v>0</v>
      </c>
      <c r="Q46" s="72" t="s">
        <v>188</v>
      </c>
      <c r="R46" s="73">
        <v>0</v>
      </c>
      <c r="S46" s="72" t="s">
        <v>197</v>
      </c>
      <c r="T46" s="73">
        <v>0</v>
      </c>
      <c r="U46" s="78" t="s">
        <v>130</v>
      </c>
      <c r="V46" s="79">
        <v>0</v>
      </c>
      <c r="W46" s="78" t="s">
        <v>167</v>
      </c>
      <c r="X46" s="79">
        <v>0</v>
      </c>
      <c r="Y46" s="72" t="s">
        <v>212</v>
      </c>
      <c r="Z46" s="73">
        <v>50000</v>
      </c>
    </row>
    <row r="47" spans="1:26" ht="11.25">
      <c r="A47" s="90" t="s">
        <v>305</v>
      </c>
      <c r="B47" s="21" t="s">
        <v>306</v>
      </c>
      <c r="C47" s="42" t="s">
        <v>91</v>
      </c>
      <c r="D47" s="49">
        <f t="shared" si="1"/>
        <v>923750</v>
      </c>
      <c r="E47" s="84" t="s">
        <v>106</v>
      </c>
      <c r="F47" s="85">
        <v>810000</v>
      </c>
      <c r="G47" s="84"/>
      <c r="H47" s="85"/>
      <c r="I47" s="72" t="s">
        <v>84</v>
      </c>
      <c r="J47" s="73">
        <v>30750</v>
      </c>
      <c r="K47" s="72" t="s">
        <v>109</v>
      </c>
      <c r="L47" s="73">
        <v>33000</v>
      </c>
      <c r="M47" s="84" t="s">
        <v>112</v>
      </c>
      <c r="N47" s="85">
        <v>0</v>
      </c>
      <c r="O47" s="84" t="s">
        <v>171</v>
      </c>
      <c r="P47" s="85">
        <v>0</v>
      </c>
      <c r="Q47" s="72" t="s">
        <v>188</v>
      </c>
      <c r="R47" s="73">
        <v>0</v>
      </c>
      <c r="S47" s="72" t="s">
        <v>202</v>
      </c>
      <c r="T47" s="73">
        <v>0</v>
      </c>
      <c r="U47" s="78" t="s">
        <v>130</v>
      </c>
      <c r="V47" s="79">
        <v>0</v>
      </c>
      <c r="W47" s="78" t="s">
        <v>148</v>
      </c>
      <c r="X47" s="79">
        <v>0</v>
      </c>
      <c r="Y47" s="72" t="s">
        <v>212</v>
      </c>
      <c r="Z47" s="73">
        <v>50000</v>
      </c>
    </row>
    <row r="48" spans="1:26" ht="11.25">
      <c r="A48" s="90" t="s">
        <v>269</v>
      </c>
      <c r="B48" s="21" t="s">
        <v>270</v>
      </c>
      <c r="C48" s="42" t="s">
        <v>262</v>
      </c>
      <c r="D48" s="49">
        <f t="shared" si="1"/>
        <v>918750</v>
      </c>
      <c r="E48" s="84" t="s">
        <v>137</v>
      </c>
      <c r="F48" s="85">
        <v>273750</v>
      </c>
      <c r="G48" s="84" t="s">
        <v>100</v>
      </c>
      <c r="H48" s="85">
        <v>273750</v>
      </c>
      <c r="I48" s="72" t="s">
        <v>84</v>
      </c>
      <c r="J48" s="73">
        <v>30750</v>
      </c>
      <c r="K48" s="72" t="s">
        <v>109</v>
      </c>
      <c r="L48" s="73">
        <v>33000</v>
      </c>
      <c r="M48" s="84" t="s">
        <v>103</v>
      </c>
      <c r="N48" s="85">
        <v>0</v>
      </c>
      <c r="O48" s="84" t="s">
        <v>129</v>
      </c>
      <c r="P48" s="85">
        <v>0</v>
      </c>
      <c r="Q48" s="72" t="s">
        <v>201</v>
      </c>
      <c r="R48" s="73">
        <v>135000</v>
      </c>
      <c r="S48" s="72" t="s">
        <v>199</v>
      </c>
      <c r="T48" s="73">
        <v>172500</v>
      </c>
      <c r="U48" s="78" t="s">
        <v>130</v>
      </c>
      <c r="V48" s="79">
        <v>0</v>
      </c>
      <c r="W48" s="78" t="s">
        <v>107</v>
      </c>
      <c r="X48" s="79">
        <v>0</v>
      </c>
      <c r="Y48" s="72" t="s">
        <v>211</v>
      </c>
      <c r="Z48" s="73">
        <v>0</v>
      </c>
    </row>
    <row r="49" spans="1:26" ht="11.25">
      <c r="A49" s="90" t="s">
        <v>133</v>
      </c>
      <c r="B49" s="21" t="s">
        <v>134</v>
      </c>
      <c r="C49" s="42" t="s">
        <v>91</v>
      </c>
      <c r="D49" s="49">
        <f t="shared" si="1"/>
        <v>897844</v>
      </c>
      <c r="E49" s="84" t="s">
        <v>106</v>
      </c>
      <c r="F49" s="85">
        <v>810000</v>
      </c>
      <c r="G49" s="84"/>
      <c r="H49" s="85"/>
      <c r="I49" s="72" t="s">
        <v>117</v>
      </c>
      <c r="J49" s="73">
        <v>54844</v>
      </c>
      <c r="K49" s="72" t="s">
        <v>109</v>
      </c>
      <c r="L49" s="73">
        <v>33000</v>
      </c>
      <c r="M49" s="84" t="s">
        <v>171</v>
      </c>
      <c r="N49" s="85">
        <v>0</v>
      </c>
      <c r="O49" s="84" t="s">
        <v>187</v>
      </c>
      <c r="P49" s="85">
        <v>0</v>
      </c>
      <c r="Q49" s="72" t="s">
        <v>188</v>
      </c>
      <c r="R49" s="73">
        <v>0</v>
      </c>
      <c r="S49" s="72" t="s">
        <v>191</v>
      </c>
      <c r="T49" s="73">
        <v>0</v>
      </c>
      <c r="U49" s="78" t="s">
        <v>130</v>
      </c>
      <c r="V49" s="79">
        <v>0</v>
      </c>
      <c r="W49" s="78" t="s">
        <v>148</v>
      </c>
      <c r="X49" s="79">
        <v>0</v>
      </c>
      <c r="Y49" s="72" t="s">
        <v>211</v>
      </c>
      <c r="Z49" s="73">
        <v>0</v>
      </c>
    </row>
    <row r="50" spans="1:26" ht="11.25">
      <c r="A50" s="90" t="s">
        <v>3</v>
      </c>
      <c r="B50" s="21" t="s">
        <v>250</v>
      </c>
      <c r="C50" s="42" t="s">
        <v>89</v>
      </c>
      <c r="D50" s="49">
        <f t="shared" si="1"/>
        <v>885375</v>
      </c>
      <c r="E50" s="84" t="s">
        <v>106</v>
      </c>
      <c r="F50" s="85">
        <v>810000</v>
      </c>
      <c r="G50" s="84"/>
      <c r="H50" s="85"/>
      <c r="I50" s="72" t="s">
        <v>109</v>
      </c>
      <c r="J50" s="73">
        <v>33000</v>
      </c>
      <c r="K50" s="72" t="s">
        <v>110</v>
      </c>
      <c r="L50" s="73">
        <v>0</v>
      </c>
      <c r="M50" s="84" t="s">
        <v>128</v>
      </c>
      <c r="N50" s="85">
        <v>0</v>
      </c>
      <c r="O50" s="84" t="s">
        <v>104</v>
      </c>
      <c r="P50" s="85">
        <v>0</v>
      </c>
      <c r="Q50" s="72" t="s">
        <v>191</v>
      </c>
      <c r="R50" s="73">
        <v>0</v>
      </c>
      <c r="S50" s="72" t="s">
        <v>192</v>
      </c>
      <c r="T50" s="73">
        <v>42375</v>
      </c>
      <c r="U50" s="78" t="s">
        <v>130</v>
      </c>
      <c r="V50" s="79">
        <v>0</v>
      </c>
      <c r="W50" s="78" t="s">
        <v>148</v>
      </c>
      <c r="X50" s="79">
        <v>0</v>
      </c>
      <c r="Y50" s="72" t="s">
        <v>211</v>
      </c>
      <c r="Z50" s="73">
        <v>0</v>
      </c>
    </row>
    <row r="51" spans="1:26" ht="11.25">
      <c r="A51" s="90" t="s">
        <v>163</v>
      </c>
      <c r="B51" s="21" t="s">
        <v>164</v>
      </c>
      <c r="C51" s="42" t="s">
        <v>91</v>
      </c>
      <c r="D51" s="49">
        <f t="shared" si="1"/>
        <v>876750</v>
      </c>
      <c r="E51" s="84" t="s">
        <v>137</v>
      </c>
      <c r="F51" s="85">
        <v>273750</v>
      </c>
      <c r="G51" s="84" t="s">
        <v>108</v>
      </c>
      <c r="H51" s="85">
        <v>135000</v>
      </c>
      <c r="I51" s="72" t="s">
        <v>123</v>
      </c>
      <c r="J51" s="73">
        <v>435000</v>
      </c>
      <c r="K51" s="72" t="s">
        <v>109</v>
      </c>
      <c r="L51" s="73">
        <v>33000</v>
      </c>
      <c r="M51" s="84" t="s">
        <v>103</v>
      </c>
      <c r="N51" s="85">
        <v>0</v>
      </c>
      <c r="O51" s="84" t="s">
        <v>171</v>
      </c>
      <c r="P51" s="85">
        <v>0</v>
      </c>
      <c r="Q51" s="72" t="s">
        <v>188</v>
      </c>
      <c r="R51" s="73">
        <v>0</v>
      </c>
      <c r="S51" s="72" t="s">
        <v>191</v>
      </c>
      <c r="T51" s="73">
        <v>0</v>
      </c>
      <c r="U51" s="78" t="s">
        <v>130</v>
      </c>
      <c r="V51" s="79">
        <v>0</v>
      </c>
      <c r="W51" s="78" t="s">
        <v>148</v>
      </c>
      <c r="X51" s="79">
        <v>0</v>
      </c>
      <c r="Y51" s="72" t="s">
        <v>210</v>
      </c>
      <c r="Z51" s="73">
        <v>0</v>
      </c>
    </row>
    <row r="52" spans="1:26" ht="11.25">
      <c r="A52" s="90" t="s">
        <v>292</v>
      </c>
      <c r="B52" s="21" t="s">
        <v>291</v>
      </c>
      <c r="C52" s="42" t="s">
        <v>91</v>
      </c>
      <c r="D52" s="49">
        <f t="shared" si="1"/>
        <v>821750</v>
      </c>
      <c r="E52" s="84" t="s">
        <v>141</v>
      </c>
      <c r="F52" s="85">
        <v>112500</v>
      </c>
      <c r="G52" s="84" t="s">
        <v>100</v>
      </c>
      <c r="H52" s="85">
        <v>273750</v>
      </c>
      <c r="I52" s="72" t="s">
        <v>109</v>
      </c>
      <c r="J52" s="73">
        <v>33000</v>
      </c>
      <c r="K52" s="72" t="s">
        <v>114</v>
      </c>
      <c r="L52" s="73">
        <v>0</v>
      </c>
      <c r="M52" s="84" t="s">
        <v>104</v>
      </c>
      <c r="N52" s="85">
        <v>0</v>
      </c>
      <c r="O52" s="84" t="s">
        <v>152</v>
      </c>
      <c r="P52" s="85">
        <v>0</v>
      </c>
      <c r="Q52" s="72" t="s">
        <v>201</v>
      </c>
      <c r="R52" s="73">
        <v>135000</v>
      </c>
      <c r="S52" s="72" t="s">
        <v>203</v>
      </c>
      <c r="T52" s="73">
        <v>217500</v>
      </c>
      <c r="U52" s="78" t="s">
        <v>130</v>
      </c>
      <c r="V52" s="79">
        <v>0</v>
      </c>
      <c r="W52" s="78" t="s">
        <v>148</v>
      </c>
      <c r="X52" s="79">
        <v>0</v>
      </c>
      <c r="Y52" s="72" t="s">
        <v>212</v>
      </c>
      <c r="Z52" s="73">
        <v>50000</v>
      </c>
    </row>
    <row r="53" spans="1:26" ht="11.25">
      <c r="A53" s="90" t="s">
        <v>230</v>
      </c>
      <c r="B53" s="21" t="s">
        <v>231</v>
      </c>
      <c r="C53" s="42" t="s">
        <v>91</v>
      </c>
      <c r="D53" s="49">
        <f t="shared" si="1"/>
        <v>821644</v>
      </c>
      <c r="E53" s="84" t="s">
        <v>93</v>
      </c>
      <c r="F53" s="85">
        <v>135000</v>
      </c>
      <c r="G53" s="84" t="s">
        <v>141</v>
      </c>
      <c r="H53" s="85">
        <v>112500</v>
      </c>
      <c r="I53" s="72" t="s">
        <v>117</v>
      </c>
      <c r="J53" s="73">
        <v>54844</v>
      </c>
      <c r="K53" s="72" t="s">
        <v>126</v>
      </c>
      <c r="L53" s="73">
        <v>0</v>
      </c>
      <c r="M53" s="84" t="s">
        <v>104</v>
      </c>
      <c r="N53" s="85">
        <v>0</v>
      </c>
      <c r="O53" s="84" t="s">
        <v>183</v>
      </c>
      <c r="P53" s="85">
        <v>84300</v>
      </c>
      <c r="Q53" s="72" t="s">
        <v>208</v>
      </c>
      <c r="R53" s="73">
        <v>0</v>
      </c>
      <c r="S53" s="72" t="s">
        <v>206</v>
      </c>
      <c r="T53" s="73">
        <v>435000</v>
      </c>
      <c r="U53" s="78" t="s">
        <v>130</v>
      </c>
      <c r="V53" s="79">
        <v>0</v>
      </c>
      <c r="W53" s="78" t="s">
        <v>167</v>
      </c>
      <c r="X53" s="79">
        <v>0</v>
      </c>
      <c r="Y53" s="72" t="s">
        <v>211</v>
      </c>
      <c r="Z53" s="73">
        <v>0</v>
      </c>
    </row>
    <row r="54" spans="1:26" ht="11.25">
      <c r="A54" s="90" t="s">
        <v>279</v>
      </c>
      <c r="B54" s="21" t="s">
        <v>280</v>
      </c>
      <c r="C54" s="43" t="s">
        <v>262</v>
      </c>
      <c r="D54" s="49">
        <f t="shared" si="1"/>
        <v>804069</v>
      </c>
      <c r="E54" s="84" t="s">
        <v>100</v>
      </c>
      <c r="F54" s="85">
        <v>273750</v>
      </c>
      <c r="G54" s="84" t="s">
        <v>93</v>
      </c>
      <c r="H54" s="85">
        <v>135000</v>
      </c>
      <c r="I54" s="72" t="s">
        <v>95</v>
      </c>
      <c r="J54" s="73">
        <v>54844</v>
      </c>
      <c r="K54" s="72" t="s">
        <v>145</v>
      </c>
      <c r="L54" s="73">
        <v>36875</v>
      </c>
      <c r="M54" s="84" t="s">
        <v>183</v>
      </c>
      <c r="N54" s="85">
        <v>84300</v>
      </c>
      <c r="O54" s="84" t="s">
        <v>171</v>
      </c>
      <c r="P54" s="85">
        <v>0</v>
      </c>
      <c r="Q54" s="72" t="s">
        <v>190</v>
      </c>
      <c r="R54" s="73">
        <v>84300</v>
      </c>
      <c r="S54" s="72" t="s">
        <v>201</v>
      </c>
      <c r="T54" s="73">
        <v>135000</v>
      </c>
      <c r="U54" s="78" t="s">
        <v>130</v>
      </c>
      <c r="V54" s="79">
        <v>0</v>
      </c>
      <c r="W54" s="78" t="s">
        <v>148</v>
      </c>
      <c r="X54" s="79">
        <v>0</v>
      </c>
      <c r="Y54" s="72" t="s">
        <v>211</v>
      </c>
      <c r="Z54" s="73">
        <v>0</v>
      </c>
    </row>
    <row r="55" spans="1:26" ht="11.25">
      <c r="A55" s="90" t="s">
        <v>285</v>
      </c>
      <c r="B55" s="21" t="s">
        <v>286</v>
      </c>
      <c r="C55" s="43" t="s">
        <v>283</v>
      </c>
      <c r="D55" s="49">
        <f t="shared" si="1"/>
        <v>794844</v>
      </c>
      <c r="E55" s="84" t="s">
        <v>100</v>
      </c>
      <c r="F55" s="85">
        <v>273750</v>
      </c>
      <c r="G55" s="84" t="s">
        <v>93</v>
      </c>
      <c r="H55" s="85">
        <v>135000</v>
      </c>
      <c r="I55" s="72" t="s">
        <v>84</v>
      </c>
      <c r="J55" s="73">
        <v>30750</v>
      </c>
      <c r="K55" s="72" t="s">
        <v>109</v>
      </c>
      <c r="L55" s="73">
        <v>33000</v>
      </c>
      <c r="M55" s="84" t="s">
        <v>185</v>
      </c>
      <c r="N55" s="85">
        <v>54844</v>
      </c>
      <c r="O55" s="84" t="s">
        <v>171</v>
      </c>
      <c r="P55" s="85">
        <v>0</v>
      </c>
      <c r="Q55" s="72" t="s">
        <v>191</v>
      </c>
      <c r="R55" s="73">
        <v>0</v>
      </c>
      <c r="S55" s="72" t="s">
        <v>203</v>
      </c>
      <c r="T55" s="73">
        <v>217500</v>
      </c>
      <c r="U55" s="78" t="s">
        <v>130</v>
      </c>
      <c r="V55" s="79">
        <v>0</v>
      </c>
      <c r="W55" s="78" t="s">
        <v>167</v>
      </c>
      <c r="X55" s="79">
        <v>0</v>
      </c>
      <c r="Y55" s="72" t="s">
        <v>212</v>
      </c>
      <c r="Z55" s="73">
        <v>50000</v>
      </c>
    </row>
    <row r="56" spans="1:26" ht="11.25">
      <c r="A56" s="90" t="s">
        <v>178</v>
      </c>
      <c r="B56" s="21" t="s">
        <v>179</v>
      </c>
      <c r="C56" s="43" t="s">
        <v>91</v>
      </c>
      <c r="D56" s="49">
        <f t="shared" si="1"/>
        <v>793644</v>
      </c>
      <c r="E56" s="84" t="s">
        <v>143</v>
      </c>
      <c r="F56" s="85">
        <v>0</v>
      </c>
      <c r="G56" s="84" t="s">
        <v>141</v>
      </c>
      <c r="H56" s="85">
        <v>112500</v>
      </c>
      <c r="I56" s="72" t="s">
        <v>84</v>
      </c>
      <c r="J56" s="73">
        <v>30750</v>
      </c>
      <c r="K56" s="72" t="s">
        <v>126</v>
      </c>
      <c r="L56" s="73">
        <v>0</v>
      </c>
      <c r="M56" s="84" t="s">
        <v>171</v>
      </c>
      <c r="N56" s="85">
        <v>0</v>
      </c>
      <c r="O56" s="84" t="s">
        <v>125</v>
      </c>
      <c r="P56" s="85">
        <v>54844</v>
      </c>
      <c r="Q56" s="72" t="s">
        <v>190</v>
      </c>
      <c r="R56" s="73">
        <v>84300</v>
      </c>
      <c r="S56" s="72" t="s">
        <v>206</v>
      </c>
      <c r="T56" s="73">
        <v>435000</v>
      </c>
      <c r="U56" s="78" t="s">
        <v>130</v>
      </c>
      <c r="V56" s="79">
        <v>0</v>
      </c>
      <c r="W56" s="78" t="s">
        <v>98</v>
      </c>
      <c r="X56" s="79">
        <v>26250</v>
      </c>
      <c r="Y56" s="72" t="s">
        <v>212</v>
      </c>
      <c r="Z56" s="73">
        <v>50000</v>
      </c>
    </row>
    <row r="57" spans="1:26" ht="11.25">
      <c r="A57" s="90" t="s">
        <v>165</v>
      </c>
      <c r="B57" s="21" t="s">
        <v>258</v>
      </c>
      <c r="C57" s="43" t="s">
        <v>91</v>
      </c>
      <c r="D57" s="49">
        <f t="shared" si="1"/>
        <v>791125</v>
      </c>
      <c r="E57" s="84" t="s">
        <v>141</v>
      </c>
      <c r="F57" s="85">
        <v>112500</v>
      </c>
      <c r="G57" s="84" t="s">
        <v>100</v>
      </c>
      <c r="H57" s="85">
        <v>273750</v>
      </c>
      <c r="I57" s="72" t="s">
        <v>109</v>
      </c>
      <c r="J57" s="73">
        <v>33000</v>
      </c>
      <c r="K57" s="72" t="s">
        <v>114</v>
      </c>
      <c r="L57" s="73">
        <v>0</v>
      </c>
      <c r="M57" s="84" t="s">
        <v>112</v>
      </c>
      <c r="N57" s="85">
        <v>0</v>
      </c>
      <c r="O57" s="84" t="s">
        <v>97</v>
      </c>
      <c r="P57" s="85">
        <v>112500</v>
      </c>
      <c r="Q57" s="72" t="s">
        <v>153</v>
      </c>
      <c r="R57" s="73">
        <v>36875</v>
      </c>
      <c r="S57" s="72" t="s">
        <v>199</v>
      </c>
      <c r="T57" s="73">
        <v>172500</v>
      </c>
      <c r="U57" s="78" t="s">
        <v>130</v>
      </c>
      <c r="V57" s="79">
        <v>0</v>
      </c>
      <c r="W57" s="78" t="s">
        <v>107</v>
      </c>
      <c r="X57" s="79">
        <v>0</v>
      </c>
      <c r="Y57" s="72" t="s">
        <v>212</v>
      </c>
      <c r="Z57" s="73">
        <v>50000</v>
      </c>
    </row>
    <row r="58" spans="1:26" ht="11.25">
      <c r="A58" s="90" t="s">
        <v>251</v>
      </c>
      <c r="B58" s="21" t="s">
        <v>252</v>
      </c>
      <c r="C58" s="43" t="s">
        <v>91</v>
      </c>
      <c r="D58" s="49">
        <f t="shared" si="1"/>
        <v>780969</v>
      </c>
      <c r="E58" s="84" t="s">
        <v>93</v>
      </c>
      <c r="F58" s="85">
        <v>135000</v>
      </c>
      <c r="G58" s="84" t="s">
        <v>92</v>
      </c>
      <c r="H58" s="85">
        <v>42375</v>
      </c>
      <c r="I58" s="72" t="s">
        <v>109</v>
      </c>
      <c r="J58" s="73">
        <v>33000</v>
      </c>
      <c r="K58" s="72" t="s">
        <v>84</v>
      </c>
      <c r="L58" s="73">
        <v>30750</v>
      </c>
      <c r="M58" s="84" t="s">
        <v>171</v>
      </c>
      <c r="N58" s="85">
        <v>0</v>
      </c>
      <c r="O58" s="84" t="s">
        <v>185</v>
      </c>
      <c r="P58" s="85">
        <v>54844</v>
      </c>
      <c r="Q58" s="72" t="s">
        <v>191</v>
      </c>
      <c r="R58" s="73">
        <v>0</v>
      </c>
      <c r="S58" s="72" t="s">
        <v>206</v>
      </c>
      <c r="T58" s="73">
        <v>435000</v>
      </c>
      <c r="U58" s="78" t="s">
        <v>130</v>
      </c>
      <c r="V58" s="79">
        <v>0</v>
      </c>
      <c r="W58" s="78" t="s">
        <v>167</v>
      </c>
      <c r="X58" s="79">
        <v>0</v>
      </c>
      <c r="Y58" s="72" t="s">
        <v>212</v>
      </c>
      <c r="Z58" s="73">
        <v>50000</v>
      </c>
    </row>
    <row r="59" spans="1:26" ht="11.25">
      <c r="A59" s="90" t="s">
        <v>303</v>
      </c>
      <c r="B59" s="21" t="s">
        <v>304</v>
      </c>
      <c r="C59" s="43" t="s">
        <v>91</v>
      </c>
      <c r="D59" s="49">
        <f t="shared" si="1"/>
        <v>771750</v>
      </c>
      <c r="E59" s="84" t="s">
        <v>100</v>
      </c>
      <c r="F59" s="85">
        <v>273750</v>
      </c>
      <c r="G59" s="84" t="s">
        <v>93</v>
      </c>
      <c r="H59" s="85">
        <v>135000</v>
      </c>
      <c r="I59" s="72" t="s">
        <v>109</v>
      </c>
      <c r="J59" s="73">
        <v>33000</v>
      </c>
      <c r="K59" s="72" t="s">
        <v>114</v>
      </c>
      <c r="L59" s="73">
        <v>0</v>
      </c>
      <c r="M59" s="84" t="s">
        <v>186</v>
      </c>
      <c r="N59" s="85">
        <v>0</v>
      </c>
      <c r="O59" s="84" t="s">
        <v>97</v>
      </c>
      <c r="P59" s="85">
        <v>112500</v>
      </c>
      <c r="Q59" s="72" t="s">
        <v>191</v>
      </c>
      <c r="R59" s="73">
        <v>0</v>
      </c>
      <c r="S59" s="72" t="s">
        <v>203</v>
      </c>
      <c r="T59" s="73">
        <v>217500</v>
      </c>
      <c r="U59" s="78" t="s">
        <v>130</v>
      </c>
      <c r="V59" s="79">
        <v>0</v>
      </c>
      <c r="W59" s="78" t="s">
        <v>148</v>
      </c>
      <c r="X59" s="79">
        <v>0</v>
      </c>
      <c r="Y59" s="72" t="s">
        <v>210</v>
      </c>
      <c r="Z59" s="73">
        <v>0</v>
      </c>
    </row>
    <row r="60" spans="1:26" ht="11.25">
      <c r="A60" s="90" t="s">
        <v>255</v>
      </c>
      <c r="B60" s="22" t="s">
        <v>254</v>
      </c>
      <c r="C60" s="43" t="s">
        <v>91</v>
      </c>
      <c r="D60" s="49">
        <f t="shared" si="1"/>
        <v>757500</v>
      </c>
      <c r="E60" s="84" t="s">
        <v>141</v>
      </c>
      <c r="F60" s="85">
        <v>112500</v>
      </c>
      <c r="G60" s="84" t="s">
        <v>100</v>
      </c>
      <c r="H60" s="85">
        <v>273750</v>
      </c>
      <c r="I60" s="72" t="s">
        <v>109</v>
      </c>
      <c r="J60" s="73">
        <v>33000</v>
      </c>
      <c r="K60" s="72" t="s">
        <v>84</v>
      </c>
      <c r="L60" s="73">
        <v>30750</v>
      </c>
      <c r="M60" s="84" t="s">
        <v>171</v>
      </c>
      <c r="N60" s="85">
        <v>0</v>
      </c>
      <c r="O60" s="84" t="s">
        <v>103</v>
      </c>
      <c r="P60" s="85">
        <v>0</v>
      </c>
      <c r="Q60" s="72" t="s">
        <v>201</v>
      </c>
      <c r="R60" s="73">
        <v>135000</v>
      </c>
      <c r="S60" s="72" t="s">
        <v>199</v>
      </c>
      <c r="T60" s="73">
        <v>172500</v>
      </c>
      <c r="U60" s="78" t="s">
        <v>130</v>
      </c>
      <c r="V60" s="79">
        <v>0</v>
      </c>
      <c r="W60" s="78" t="s">
        <v>148</v>
      </c>
      <c r="X60" s="79">
        <v>0</v>
      </c>
      <c r="Y60" s="72" t="s">
        <v>210</v>
      </c>
      <c r="Z60" s="73">
        <v>0</v>
      </c>
    </row>
    <row r="61" spans="1:26" ht="11.25">
      <c r="A61" s="90" t="s">
        <v>214</v>
      </c>
      <c r="B61" s="22" t="s">
        <v>215</v>
      </c>
      <c r="C61" s="43" t="s">
        <v>91</v>
      </c>
      <c r="D61" s="49">
        <f t="shared" si="1"/>
        <v>700969</v>
      </c>
      <c r="E61" s="84" t="s">
        <v>92</v>
      </c>
      <c r="F61" s="85">
        <v>42375</v>
      </c>
      <c r="G61" s="84" t="s">
        <v>100</v>
      </c>
      <c r="H61" s="85">
        <v>273750</v>
      </c>
      <c r="I61" s="72" t="s">
        <v>117</v>
      </c>
      <c r="J61" s="73">
        <v>54844</v>
      </c>
      <c r="K61" s="72" t="s">
        <v>126</v>
      </c>
      <c r="L61" s="73">
        <v>0</v>
      </c>
      <c r="M61" s="84" t="s">
        <v>186</v>
      </c>
      <c r="N61" s="85">
        <v>0</v>
      </c>
      <c r="O61" s="84" t="s">
        <v>97</v>
      </c>
      <c r="P61" s="85">
        <v>112500</v>
      </c>
      <c r="Q61" s="72" t="s">
        <v>188</v>
      </c>
      <c r="R61" s="73">
        <v>0</v>
      </c>
      <c r="S61" s="72" t="s">
        <v>121</v>
      </c>
      <c r="T61" s="73">
        <v>217500</v>
      </c>
      <c r="U61" s="78" t="s">
        <v>216</v>
      </c>
      <c r="V61" s="79">
        <v>0</v>
      </c>
      <c r="W61" s="78" t="s">
        <v>167</v>
      </c>
      <c r="X61" s="79">
        <v>0</v>
      </c>
      <c r="Y61" s="72" t="s">
        <v>211</v>
      </c>
      <c r="Z61" s="73">
        <v>0</v>
      </c>
    </row>
    <row r="62" spans="1:26" ht="11.25">
      <c r="A62" s="90" t="s">
        <v>301</v>
      </c>
      <c r="B62" s="22" t="s">
        <v>274</v>
      </c>
      <c r="C62" s="43" t="s">
        <v>262</v>
      </c>
      <c r="D62" s="49">
        <f t="shared" si="1"/>
        <v>671019</v>
      </c>
      <c r="E62" s="84" t="s">
        <v>100</v>
      </c>
      <c r="F62" s="85">
        <v>273750</v>
      </c>
      <c r="G62" s="84" t="s">
        <v>92</v>
      </c>
      <c r="H62" s="85">
        <v>42375</v>
      </c>
      <c r="I62" s="72" t="s">
        <v>84</v>
      </c>
      <c r="J62" s="73">
        <v>30750</v>
      </c>
      <c r="K62" s="72" t="s">
        <v>96</v>
      </c>
      <c r="L62" s="73">
        <v>0</v>
      </c>
      <c r="M62" s="84" t="s">
        <v>185</v>
      </c>
      <c r="N62" s="85">
        <v>54844</v>
      </c>
      <c r="O62" s="84" t="s">
        <v>183</v>
      </c>
      <c r="P62" s="85">
        <v>84300</v>
      </c>
      <c r="Q62" s="72" t="s">
        <v>201</v>
      </c>
      <c r="R62" s="73">
        <v>135000</v>
      </c>
      <c r="S62" s="72" t="s">
        <v>198</v>
      </c>
      <c r="T62" s="73">
        <v>0</v>
      </c>
      <c r="U62" s="78" t="s">
        <v>148</v>
      </c>
      <c r="V62" s="79">
        <v>0</v>
      </c>
      <c r="W62" s="78" t="s">
        <v>167</v>
      </c>
      <c r="X62" s="79">
        <v>0</v>
      </c>
      <c r="Y62" s="72" t="s">
        <v>212</v>
      </c>
      <c r="Z62" s="73">
        <v>50000</v>
      </c>
    </row>
    <row r="63" spans="1:26" ht="11.25">
      <c r="A63" s="90" t="s">
        <v>91</v>
      </c>
      <c r="B63" s="22" t="s">
        <v>258</v>
      </c>
      <c r="C63" s="43" t="s">
        <v>91</v>
      </c>
      <c r="D63" s="49">
        <f t="shared" si="1"/>
        <v>668675</v>
      </c>
      <c r="E63" s="84" t="s">
        <v>143</v>
      </c>
      <c r="F63" s="85">
        <v>0</v>
      </c>
      <c r="G63" s="84" t="s">
        <v>137</v>
      </c>
      <c r="H63" s="85">
        <v>273750</v>
      </c>
      <c r="I63" s="72" t="s">
        <v>105</v>
      </c>
      <c r="J63" s="73">
        <v>84300</v>
      </c>
      <c r="K63" s="72" t="s">
        <v>145</v>
      </c>
      <c r="L63" s="73">
        <v>36875</v>
      </c>
      <c r="M63" s="84" t="s">
        <v>152</v>
      </c>
      <c r="N63" s="85">
        <v>0</v>
      </c>
      <c r="O63" s="84" t="s">
        <v>170</v>
      </c>
      <c r="P63" s="85">
        <v>0</v>
      </c>
      <c r="Q63" s="72" t="s">
        <v>193</v>
      </c>
      <c r="R63" s="73">
        <v>273750</v>
      </c>
      <c r="S63" s="72" t="s">
        <v>198</v>
      </c>
      <c r="T63" s="73">
        <v>0</v>
      </c>
      <c r="U63" s="78" t="s">
        <v>130</v>
      </c>
      <c r="V63" s="79">
        <v>0</v>
      </c>
      <c r="W63" s="78" t="s">
        <v>107</v>
      </c>
      <c r="X63" s="79">
        <v>0</v>
      </c>
      <c r="Y63" s="72" t="s">
        <v>210</v>
      </c>
      <c r="Z63" s="73">
        <v>0</v>
      </c>
    </row>
    <row r="64" spans="1:26" ht="11.25">
      <c r="A64" s="90" t="s">
        <v>159</v>
      </c>
      <c r="B64" s="22" t="s">
        <v>160</v>
      </c>
      <c r="C64" s="43" t="s">
        <v>91</v>
      </c>
      <c r="D64" s="49">
        <f t="shared" si="1"/>
        <v>663238</v>
      </c>
      <c r="E64" s="84" t="s">
        <v>141</v>
      </c>
      <c r="F64" s="85">
        <v>112500</v>
      </c>
      <c r="G64" s="84" t="s">
        <v>100</v>
      </c>
      <c r="H64" s="85">
        <v>273750</v>
      </c>
      <c r="I64" s="72" t="s">
        <v>95</v>
      </c>
      <c r="J64" s="73">
        <v>54844</v>
      </c>
      <c r="K64" s="72" t="s">
        <v>109</v>
      </c>
      <c r="L64" s="73">
        <v>33000</v>
      </c>
      <c r="M64" s="84" t="s">
        <v>171</v>
      </c>
      <c r="N64" s="85">
        <v>0</v>
      </c>
      <c r="O64" s="84" t="s">
        <v>131</v>
      </c>
      <c r="P64" s="85">
        <v>54844</v>
      </c>
      <c r="Q64" s="72" t="s">
        <v>190</v>
      </c>
      <c r="R64" s="73">
        <v>84300</v>
      </c>
      <c r="S64" s="72" t="s">
        <v>196</v>
      </c>
      <c r="T64" s="73">
        <v>0</v>
      </c>
      <c r="U64" s="78" t="s">
        <v>130</v>
      </c>
      <c r="V64" s="79">
        <v>0</v>
      </c>
      <c r="W64" s="78" t="s">
        <v>148</v>
      </c>
      <c r="X64" s="79">
        <v>0</v>
      </c>
      <c r="Y64" s="72" t="s">
        <v>212</v>
      </c>
      <c r="Z64" s="73">
        <v>50000</v>
      </c>
    </row>
    <row r="65" spans="1:26" ht="11.25">
      <c r="A65" s="90" t="s">
        <v>241</v>
      </c>
      <c r="B65" s="22" t="s">
        <v>161</v>
      </c>
      <c r="C65" s="43" t="s">
        <v>241</v>
      </c>
      <c r="D65" s="49">
        <f t="shared" si="1"/>
        <v>657500</v>
      </c>
      <c r="E65" s="84" t="s">
        <v>93</v>
      </c>
      <c r="F65" s="85">
        <v>135000</v>
      </c>
      <c r="G65" s="84" t="s">
        <v>100</v>
      </c>
      <c r="H65" s="85">
        <v>273750</v>
      </c>
      <c r="I65" s="72" t="s">
        <v>109</v>
      </c>
      <c r="J65" s="73">
        <v>33000</v>
      </c>
      <c r="K65" s="72" t="s">
        <v>84</v>
      </c>
      <c r="L65" s="73">
        <v>30750</v>
      </c>
      <c r="M65" s="84" t="s">
        <v>112</v>
      </c>
      <c r="N65" s="85">
        <v>0</v>
      </c>
      <c r="O65" s="84" t="s">
        <v>171</v>
      </c>
      <c r="P65" s="85">
        <v>0</v>
      </c>
      <c r="Q65" s="72" t="s">
        <v>201</v>
      </c>
      <c r="R65" s="73">
        <v>135000</v>
      </c>
      <c r="S65" s="72" t="s">
        <v>191</v>
      </c>
      <c r="T65" s="73">
        <v>0</v>
      </c>
      <c r="U65" s="78" t="s">
        <v>130</v>
      </c>
      <c r="V65" s="79">
        <v>0</v>
      </c>
      <c r="W65" s="78" t="s">
        <v>167</v>
      </c>
      <c r="X65" s="79">
        <v>0</v>
      </c>
      <c r="Y65" s="72" t="s">
        <v>212</v>
      </c>
      <c r="Z65" s="73">
        <v>50000</v>
      </c>
    </row>
    <row r="66" spans="1:26" ht="11.25">
      <c r="A66" s="90" t="s">
        <v>271</v>
      </c>
      <c r="B66" s="22" t="s">
        <v>272</v>
      </c>
      <c r="C66" s="43" t="s">
        <v>262</v>
      </c>
      <c r="D66" s="49">
        <f aca="true" t="shared" si="2" ref="D66:D77">SUM(F66)+H66+J66+L66+N66+P66+R66+T66+V66+X66+Z66</f>
        <v>643125</v>
      </c>
      <c r="E66" s="84" t="s">
        <v>93</v>
      </c>
      <c r="F66" s="85">
        <v>135000</v>
      </c>
      <c r="G66" s="84" t="s">
        <v>92</v>
      </c>
      <c r="H66" s="85">
        <v>42375</v>
      </c>
      <c r="I66" s="72" t="s">
        <v>84</v>
      </c>
      <c r="J66" s="73">
        <v>30750</v>
      </c>
      <c r="K66" s="72" t="s">
        <v>114</v>
      </c>
      <c r="L66" s="73">
        <v>0</v>
      </c>
      <c r="M66" s="84" t="s">
        <v>171</v>
      </c>
      <c r="N66" s="85">
        <v>0</v>
      </c>
      <c r="O66" s="84" t="s">
        <v>112</v>
      </c>
      <c r="P66" s="85">
        <v>0</v>
      </c>
      <c r="Q66" s="72" t="s">
        <v>188</v>
      </c>
      <c r="R66" s="73">
        <v>0</v>
      </c>
      <c r="S66" s="72" t="s">
        <v>206</v>
      </c>
      <c r="T66" s="73">
        <v>435000</v>
      </c>
      <c r="U66" s="78" t="s">
        <v>130</v>
      </c>
      <c r="V66" s="79">
        <v>0</v>
      </c>
      <c r="W66" s="78" t="s">
        <v>148</v>
      </c>
      <c r="X66" s="79">
        <v>0</v>
      </c>
      <c r="Y66" s="72" t="s">
        <v>210</v>
      </c>
      <c r="Z66" s="73">
        <v>0</v>
      </c>
    </row>
    <row r="67" spans="1:26" ht="11.25">
      <c r="A67" s="90" t="s">
        <v>294</v>
      </c>
      <c r="B67" s="22" t="s">
        <v>295</v>
      </c>
      <c r="C67" s="43" t="s">
        <v>91</v>
      </c>
      <c r="D67" s="49">
        <f t="shared" si="2"/>
        <v>626844</v>
      </c>
      <c r="E67" s="84" t="s">
        <v>100</v>
      </c>
      <c r="F67" s="85">
        <v>273750</v>
      </c>
      <c r="G67" s="84" t="s">
        <v>143</v>
      </c>
      <c r="H67" s="85">
        <v>0</v>
      </c>
      <c r="I67" s="72" t="s">
        <v>84</v>
      </c>
      <c r="J67" s="73">
        <v>30750</v>
      </c>
      <c r="K67" s="72" t="s">
        <v>117</v>
      </c>
      <c r="L67" s="73">
        <v>54844</v>
      </c>
      <c r="M67" s="84" t="s">
        <v>171</v>
      </c>
      <c r="N67" s="85">
        <v>0</v>
      </c>
      <c r="O67" s="84" t="s">
        <v>187</v>
      </c>
      <c r="P67" s="85">
        <v>0</v>
      </c>
      <c r="Q67" s="72" t="s">
        <v>188</v>
      </c>
      <c r="R67" s="73">
        <v>0</v>
      </c>
      <c r="S67" s="72" t="s">
        <v>121</v>
      </c>
      <c r="T67" s="73">
        <v>217500</v>
      </c>
      <c r="U67" s="78" t="s">
        <v>130</v>
      </c>
      <c r="V67" s="79">
        <v>0</v>
      </c>
      <c r="W67" s="78" t="s">
        <v>148</v>
      </c>
      <c r="X67" s="79">
        <v>0</v>
      </c>
      <c r="Y67" s="72" t="s">
        <v>212</v>
      </c>
      <c r="Z67" s="73">
        <v>50000</v>
      </c>
    </row>
    <row r="68" spans="1:26" ht="11.25">
      <c r="A68" s="90" t="s">
        <v>168</v>
      </c>
      <c r="B68" s="22" t="s">
        <v>169</v>
      </c>
      <c r="C68" s="43" t="s">
        <v>91</v>
      </c>
      <c r="D68" s="49">
        <f t="shared" si="2"/>
        <v>626750</v>
      </c>
      <c r="E68" s="84" t="s">
        <v>93</v>
      </c>
      <c r="F68" s="85">
        <v>135000</v>
      </c>
      <c r="G68" s="84" t="s">
        <v>100</v>
      </c>
      <c r="H68" s="85">
        <v>273750</v>
      </c>
      <c r="I68" s="72" t="s">
        <v>109</v>
      </c>
      <c r="J68" s="73">
        <v>33000</v>
      </c>
      <c r="K68" s="72" t="s">
        <v>114</v>
      </c>
      <c r="L68" s="73">
        <v>0</v>
      </c>
      <c r="M68" s="84" t="s">
        <v>112</v>
      </c>
      <c r="N68" s="85">
        <v>0</v>
      </c>
      <c r="O68" s="84" t="s">
        <v>171</v>
      </c>
      <c r="P68" s="85">
        <v>0</v>
      </c>
      <c r="Q68" s="72" t="s">
        <v>188</v>
      </c>
      <c r="R68" s="73">
        <v>0</v>
      </c>
      <c r="S68" s="72" t="s">
        <v>201</v>
      </c>
      <c r="T68" s="73">
        <v>135000</v>
      </c>
      <c r="U68" s="78" t="s">
        <v>130</v>
      </c>
      <c r="V68" s="79">
        <v>0</v>
      </c>
      <c r="W68" s="78" t="s">
        <v>167</v>
      </c>
      <c r="X68" s="79">
        <v>0</v>
      </c>
      <c r="Y68" s="72" t="s">
        <v>212</v>
      </c>
      <c r="Z68" s="73">
        <v>50000</v>
      </c>
    </row>
    <row r="69" spans="1:26" ht="11.25">
      <c r="A69" s="90" t="s">
        <v>166</v>
      </c>
      <c r="B69" s="22" t="s">
        <v>253</v>
      </c>
      <c r="C69" s="43" t="s">
        <v>91</v>
      </c>
      <c r="D69" s="49">
        <f t="shared" si="2"/>
        <v>604644</v>
      </c>
      <c r="E69" s="84" t="s">
        <v>93</v>
      </c>
      <c r="F69" s="85">
        <v>135000</v>
      </c>
      <c r="G69" s="84" t="s">
        <v>141</v>
      </c>
      <c r="H69" s="85">
        <v>112500</v>
      </c>
      <c r="I69" s="72" t="s">
        <v>109</v>
      </c>
      <c r="J69" s="73">
        <v>33000</v>
      </c>
      <c r="K69" s="72" t="s">
        <v>95</v>
      </c>
      <c r="L69" s="73">
        <v>54844</v>
      </c>
      <c r="M69" s="84" t="s">
        <v>183</v>
      </c>
      <c r="N69" s="85">
        <v>84300</v>
      </c>
      <c r="O69" s="84" t="s">
        <v>186</v>
      </c>
      <c r="P69" s="85">
        <v>0</v>
      </c>
      <c r="Q69" s="72" t="s">
        <v>201</v>
      </c>
      <c r="R69" s="73">
        <v>135000</v>
      </c>
      <c r="S69" s="72" t="s">
        <v>198</v>
      </c>
      <c r="T69" s="73">
        <v>0</v>
      </c>
      <c r="U69" s="78" t="s">
        <v>130</v>
      </c>
      <c r="V69" s="79">
        <v>0</v>
      </c>
      <c r="W69" s="78" t="s">
        <v>148</v>
      </c>
      <c r="X69" s="79">
        <v>0</v>
      </c>
      <c r="Y69" s="72" t="s">
        <v>212</v>
      </c>
      <c r="Z69" s="73">
        <v>50000</v>
      </c>
    </row>
    <row r="70" spans="1:26" ht="11.25">
      <c r="A70" s="90" t="s">
        <v>235</v>
      </c>
      <c r="B70" s="22" t="s">
        <v>132</v>
      </c>
      <c r="C70" s="43" t="s">
        <v>91</v>
      </c>
      <c r="D70" s="49">
        <f t="shared" si="2"/>
        <v>573800</v>
      </c>
      <c r="E70" s="84" t="s">
        <v>93</v>
      </c>
      <c r="F70" s="85">
        <v>135000</v>
      </c>
      <c r="G70" s="84" t="s">
        <v>100</v>
      </c>
      <c r="H70" s="85">
        <v>273750</v>
      </c>
      <c r="I70" s="72" t="s">
        <v>84</v>
      </c>
      <c r="J70" s="73">
        <v>30750</v>
      </c>
      <c r="K70" s="72" t="s">
        <v>114</v>
      </c>
      <c r="L70" s="73">
        <v>0</v>
      </c>
      <c r="M70" s="84" t="s">
        <v>171</v>
      </c>
      <c r="N70" s="85">
        <v>0</v>
      </c>
      <c r="O70" s="84" t="s">
        <v>103</v>
      </c>
      <c r="P70" s="85">
        <v>0</v>
      </c>
      <c r="Q70" s="72" t="s">
        <v>190</v>
      </c>
      <c r="R70" s="73">
        <v>84300</v>
      </c>
      <c r="S70" s="72" t="s">
        <v>204</v>
      </c>
      <c r="T70" s="73">
        <v>0</v>
      </c>
      <c r="U70" s="78" t="s">
        <v>130</v>
      </c>
      <c r="V70" s="79">
        <v>0</v>
      </c>
      <c r="W70" s="78" t="s">
        <v>167</v>
      </c>
      <c r="X70" s="79">
        <v>0</v>
      </c>
      <c r="Y70" s="72" t="s">
        <v>212</v>
      </c>
      <c r="Z70" s="73">
        <v>50000</v>
      </c>
    </row>
    <row r="71" spans="1:26" ht="11.25">
      <c r="A71" s="90" t="s">
        <v>219</v>
      </c>
      <c r="B71" s="22" t="s">
        <v>220</v>
      </c>
      <c r="C71" s="43" t="s">
        <v>91</v>
      </c>
      <c r="D71" s="49">
        <f t="shared" si="2"/>
        <v>531219</v>
      </c>
      <c r="E71" s="84" t="s">
        <v>108</v>
      </c>
      <c r="F71" s="85">
        <v>135000</v>
      </c>
      <c r="G71" s="84" t="s">
        <v>100</v>
      </c>
      <c r="H71" s="85">
        <v>273750</v>
      </c>
      <c r="I71" s="72" t="s">
        <v>95</v>
      </c>
      <c r="J71" s="73">
        <v>54844</v>
      </c>
      <c r="K71" s="72" t="s">
        <v>84</v>
      </c>
      <c r="L71" s="73">
        <v>30750</v>
      </c>
      <c r="M71" s="84" t="s">
        <v>171</v>
      </c>
      <c r="N71" s="85">
        <v>0</v>
      </c>
      <c r="O71" s="84" t="s">
        <v>103</v>
      </c>
      <c r="P71" s="85">
        <v>0</v>
      </c>
      <c r="Q71" s="72" t="s">
        <v>153</v>
      </c>
      <c r="R71" s="73">
        <v>36875</v>
      </c>
      <c r="S71" s="72" t="s">
        <v>198</v>
      </c>
      <c r="T71" s="73">
        <v>0</v>
      </c>
      <c r="U71" s="78" t="s">
        <v>148</v>
      </c>
      <c r="V71" s="79">
        <v>0</v>
      </c>
      <c r="W71" s="78" t="s">
        <v>130</v>
      </c>
      <c r="X71" s="79">
        <v>0</v>
      </c>
      <c r="Y71" s="72" t="s">
        <v>211</v>
      </c>
      <c r="Z71" s="73">
        <v>0</v>
      </c>
    </row>
    <row r="72" spans="1:26" ht="11.25">
      <c r="A72" s="90" t="s">
        <v>242</v>
      </c>
      <c r="B72" s="22" t="s">
        <v>243</v>
      </c>
      <c r="C72" s="43" t="s">
        <v>91</v>
      </c>
      <c r="D72" s="49">
        <f t="shared" si="2"/>
        <v>499100</v>
      </c>
      <c r="E72" s="84" t="s">
        <v>93</v>
      </c>
      <c r="F72" s="85">
        <v>135000</v>
      </c>
      <c r="G72" s="84" t="s">
        <v>141</v>
      </c>
      <c r="H72" s="85">
        <v>112500</v>
      </c>
      <c r="I72" s="72" t="s">
        <v>109</v>
      </c>
      <c r="J72" s="73">
        <v>33000</v>
      </c>
      <c r="K72" s="72" t="s">
        <v>114</v>
      </c>
      <c r="L72" s="73">
        <v>0</v>
      </c>
      <c r="M72" s="84" t="s">
        <v>183</v>
      </c>
      <c r="N72" s="85">
        <v>84300</v>
      </c>
      <c r="O72" s="84" t="s">
        <v>186</v>
      </c>
      <c r="P72" s="85">
        <v>0</v>
      </c>
      <c r="Q72" s="72" t="s">
        <v>190</v>
      </c>
      <c r="R72" s="73">
        <v>84300</v>
      </c>
      <c r="S72" s="72" t="s">
        <v>198</v>
      </c>
      <c r="T72" s="73">
        <v>0</v>
      </c>
      <c r="U72" s="78" t="s">
        <v>130</v>
      </c>
      <c r="V72" s="79">
        <v>0</v>
      </c>
      <c r="W72" s="78" t="s">
        <v>167</v>
      </c>
      <c r="X72" s="79">
        <v>0</v>
      </c>
      <c r="Y72" s="72" t="s">
        <v>212</v>
      </c>
      <c r="Z72" s="73">
        <v>50000</v>
      </c>
    </row>
    <row r="73" spans="1:26" ht="11.25">
      <c r="A73" s="90" t="s">
        <v>264</v>
      </c>
      <c r="B73" s="22" t="s">
        <v>275</v>
      </c>
      <c r="C73" s="43" t="s">
        <v>262</v>
      </c>
      <c r="D73" s="49">
        <f t="shared" si="2"/>
        <v>483875</v>
      </c>
      <c r="E73" s="84" t="s">
        <v>100</v>
      </c>
      <c r="F73" s="85">
        <v>273750</v>
      </c>
      <c r="G73" s="84" t="s">
        <v>92</v>
      </c>
      <c r="H73" s="85">
        <v>42375</v>
      </c>
      <c r="I73" s="72" t="s">
        <v>126</v>
      </c>
      <c r="J73" s="73">
        <v>0</v>
      </c>
      <c r="K73" s="72" t="s">
        <v>158</v>
      </c>
      <c r="L73" s="73">
        <v>0</v>
      </c>
      <c r="M73" s="84" t="s">
        <v>127</v>
      </c>
      <c r="N73" s="85">
        <v>33000</v>
      </c>
      <c r="O73" s="84" t="s">
        <v>184</v>
      </c>
      <c r="P73" s="85">
        <v>0</v>
      </c>
      <c r="Q73" s="72" t="s">
        <v>192</v>
      </c>
      <c r="R73" s="73">
        <v>42375</v>
      </c>
      <c r="S73" s="72" t="s">
        <v>205</v>
      </c>
      <c r="T73" s="73">
        <v>42375</v>
      </c>
      <c r="U73" s="78" t="s">
        <v>130</v>
      </c>
      <c r="V73" s="79">
        <v>0</v>
      </c>
      <c r="W73" s="78" t="s">
        <v>148</v>
      </c>
      <c r="X73" s="79">
        <v>0</v>
      </c>
      <c r="Y73" s="72" t="s">
        <v>212</v>
      </c>
      <c r="Z73" s="73">
        <v>50000</v>
      </c>
    </row>
    <row r="74" spans="1:26" ht="11.25">
      <c r="A74" s="90" t="s">
        <v>155</v>
      </c>
      <c r="B74" s="22" t="s">
        <v>156</v>
      </c>
      <c r="C74" s="43" t="s">
        <v>91</v>
      </c>
      <c r="D74" s="49">
        <f t="shared" si="2"/>
        <v>453438</v>
      </c>
      <c r="E74" s="84" t="s">
        <v>93</v>
      </c>
      <c r="F74" s="85">
        <v>135000</v>
      </c>
      <c r="G74" s="84" t="s">
        <v>108</v>
      </c>
      <c r="H74" s="85">
        <v>135000</v>
      </c>
      <c r="I74" s="72" t="s">
        <v>117</v>
      </c>
      <c r="J74" s="73">
        <v>54844</v>
      </c>
      <c r="K74" s="72" t="s">
        <v>145</v>
      </c>
      <c r="L74" s="73">
        <v>36875</v>
      </c>
      <c r="M74" s="84" t="s">
        <v>171</v>
      </c>
      <c r="N74" s="85">
        <v>0</v>
      </c>
      <c r="O74" s="84" t="s">
        <v>125</v>
      </c>
      <c r="P74" s="85">
        <v>54844</v>
      </c>
      <c r="Q74" s="72" t="s">
        <v>153</v>
      </c>
      <c r="R74" s="73">
        <v>36875</v>
      </c>
      <c r="S74" s="72" t="s">
        <v>198</v>
      </c>
      <c r="T74" s="73">
        <v>0</v>
      </c>
      <c r="U74" s="78" t="s">
        <v>107</v>
      </c>
      <c r="V74" s="79">
        <v>0</v>
      </c>
      <c r="W74" s="78" t="s">
        <v>167</v>
      </c>
      <c r="X74" s="79">
        <v>0</v>
      </c>
      <c r="Y74" s="72" t="s">
        <v>211</v>
      </c>
      <c r="Z74" s="73">
        <v>0</v>
      </c>
    </row>
    <row r="75" spans="1:26" ht="11.25">
      <c r="A75" s="90" t="s">
        <v>298</v>
      </c>
      <c r="B75" s="22" t="s">
        <v>90</v>
      </c>
      <c r="C75" s="43" t="s">
        <v>89</v>
      </c>
      <c r="D75" s="49">
        <f t="shared" si="2"/>
        <v>452344</v>
      </c>
      <c r="E75" s="84" t="s">
        <v>135</v>
      </c>
      <c r="F75" s="85">
        <v>0</v>
      </c>
      <c r="G75" s="84" t="s">
        <v>141</v>
      </c>
      <c r="H75" s="85">
        <v>112500</v>
      </c>
      <c r="I75" s="72" t="s">
        <v>96</v>
      </c>
      <c r="J75" s="73">
        <v>0</v>
      </c>
      <c r="K75" s="72" t="s">
        <v>117</v>
      </c>
      <c r="L75" s="73">
        <v>54844</v>
      </c>
      <c r="M75" s="84" t="s">
        <v>151</v>
      </c>
      <c r="N75" s="85">
        <v>0</v>
      </c>
      <c r="O75" s="84" t="s">
        <v>97</v>
      </c>
      <c r="P75" s="85">
        <v>112500</v>
      </c>
      <c r="Q75" s="72" t="s">
        <v>199</v>
      </c>
      <c r="R75" s="73">
        <v>172500</v>
      </c>
      <c r="S75" s="72" t="s">
        <v>200</v>
      </c>
      <c r="T75" s="73">
        <v>0</v>
      </c>
      <c r="U75" s="78" t="s">
        <v>130</v>
      </c>
      <c r="V75" s="79">
        <v>0</v>
      </c>
      <c r="W75" s="78" t="s">
        <v>148</v>
      </c>
      <c r="X75" s="79">
        <v>0</v>
      </c>
      <c r="Y75" s="72" t="s">
        <v>211</v>
      </c>
      <c r="Z75" s="73">
        <v>0</v>
      </c>
    </row>
    <row r="76" spans="1:26" ht="11.25">
      <c r="A76" s="90" t="s">
        <v>85</v>
      </c>
      <c r="B76" s="22" t="s">
        <v>250</v>
      </c>
      <c r="C76" s="43" t="s">
        <v>89</v>
      </c>
      <c r="D76" s="49">
        <f t="shared" si="2"/>
        <v>277032</v>
      </c>
      <c r="E76" s="84" t="s">
        <v>135</v>
      </c>
      <c r="F76" s="85">
        <v>0</v>
      </c>
      <c r="G76" s="84" t="s">
        <v>141</v>
      </c>
      <c r="H76" s="85">
        <v>112500</v>
      </c>
      <c r="I76" s="72" t="s">
        <v>117</v>
      </c>
      <c r="J76" s="73">
        <v>54844</v>
      </c>
      <c r="K76" s="72" t="s">
        <v>94</v>
      </c>
      <c r="L76" s="73">
        <v>0</v>
      </c>
      <c r="M76" s="84" t="s">
        <v>185</v>
      </c>
      <c r="N76" s="85">
        <v>54844</v>
      </c>
      <c r="O76" s="84" t="s">
        <v>131</v>
      </c>
      <c r="P76" s="85">
        <v>54844</v>
      </c>
      <c r="Q76" s="72" t="s">
        <v>194</v>
      </c>
      <c r="R76" s="73">
        <v>0</v>
      </c>
      <c r="S76" s="72" t="s">
        <v>209</v>
      </c>
      <c r="T76" s="73">
        <v>0</v>
      </c>
      <c r="U76" s="78" t="s">
        <v>130</v>
      </c>
      <c r="V76" s="79">
        <v>0</v>
      </c>
      <c r="W76" s="78" t="s">
        <v>148</v>
      </c>
      <c r="X76" s="79">
        <v>0</v>
      </c>
      <c r="Y76" s="72" t="s">
        <v>211</v>
      </c>
      <c r="Z76" s="73">
        <v>0</v>
      </c>
    </row>
    <row r="77" spans="1:26" ht="12" thickBot="1">
      <c r="A77" s="92" t="s">
        <v>2</v>
      </c>
      <c r="B77" s="23" t="s">
        <v>250</v>
      </c>
      <c r="C77" s="47" t="s">
        <v>89</v>
      </c>
      <c r="D77" s="50">
        <f t="shared" si="2"/>
        <v>234000</v>
      </c>
      <c r="E77" s="86" t="s">
        <v>135</v>
      </c>
      <c r="F77" s="87">
        <v>0</v>
      </c>
      <c r="G77" s="86" t="s">
        <v>157</v>
      </c>
      <c r="H77" s="87">
        <v>28500</v>
      </c>
      <c r="I77" s="74" t="s">
        <v>109</v>
      </c>
      <c r="J77" s="75">
        <v>33000</v>
      </c>
      <c r="K77" s="74" t="s">
        <v>110</v>
      </c>
      <c r="L77" s="75">
        <v>0</v>
      </c>
      <c r="M77" s="86" t="s">
        <v>128</v>
      </c>
      <c r="N77" s="87">
        <v>0</v>
      </c>
      <c r="O77" s="86" t="s">
        <v>120</v>
      </c>
      <c r="P77" s="87">
        <v>172500</v>
      </c>
      <c r="Q77" s="74" t="s">
        <v>195</v>
      </c>
      <c r="R77" s="75">
        <v>0</v>
      </c>
      <c r="S77" s="74" t="s">
        <v>208</v>
      </c>
      <c r="T77" s="75">
        <v>0</v>
      </c>
      <c r="U77" s="80" t="s">
        <v>130</v>
      </c>
      <c r="V77" s="81">
        <v>0</v>
      </c>
      <c r="W77" s="80" t="s">
        <v>148</v>
      </c>
      <c r="X77" s="81">
        <v>0</v>
      </c>
      <c r="Y77" s="74" t="s">
        <v>211</v>
      </c>
      <c r="Z77" s="75">
        <v>0</v>
      </c>
    </row>
  </sheetData>
  <sheetProtection/>
  <autoFilter ref="A1:Z77"/>
  <printOptions/>
  <pageMargins left="0.1" right="0.1" top="0.25" bottom="0.25" header="0.5" footer="0.5"/>
  <pageSetup fitToHeight="2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9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3" sqref="G13"/>
    </sheetView>
  </sheetViews>
  <sheetFormatPr defaultColWidth="63.421875" defaultRowHeight="12.75"/>
  <cols>
    <col min="1" max="1" width="15.8515625" style="1" bestFit="1" customWidth="1"/>
    <col min="2" max="2" width="7.28125" style="2" bestFit="1" customWidth="1"/>
    <col min="3" max="3" width="5.8515625" style="2" bestFit="1" customWidth="1"/>
    <col min="4" max="4" width="14.140625" style="34" customWidth="1"/>
    <col min="5" max="5" width="5.28125" style="1" customWidth="1"/>
    <col min="6" max="16384" width="63.421875" style="1" customWidth="1"/>
  </cols>
  <sheetData>
    <row r="1" spans="1:4" ht="13.5" thickBot="1">
      <c r="A1" s="37" t="s">
        <v>28</v>
      </c>
      <c r="B1" s="38" t="s">
        <v>82</v>
      </c>
      <c r="C1" s="65" t="s">
        <v>180</v>
      </c>
      <c r="D1" s="66" t="s">
        <v>308</v>
      </c>
    </row>
    <row r="2" spans="1:5" ht="12.75">
      <c r="A2" s="35" t="s">
        <v>76</v>
      </c>
      <c r="B2" s="14">
        <f>COUNTIF(Selections!$E$1:$Z$77,"tiger woods")</f>
        <v>43</v>
      </c>
      <c r="C2" s="36" t="s">
        <v>173</v>
      </c>
      <c r="D2" s="67" t="s">
        <v>309</v>
      </c>
      <c r="E2" s="3"/>
    </row>
    <row r="3" spans="1:5" ht="12.75">
      <c r="A3" s="4" t="s">
        <v>55</v>
      </c>
      <c r="B3" s="14">
        <f>COUNTIF(Selections!$E$1:$Z$77,"Phil Mickelson")</f>
        <v>18</v>
      </c>
      <c r="C3" s="24" t="s">
        <v>173</v>
      </c>
      <c r="D3" s="68" t="s">
        <v>310</v>
      </c>
      <c r="E3" s="3"/>
    </row>
    <row r="4" spans="1:5" ht="12.75">
      <c r="A4" s="4" t="s">
        <v>66</v>
      </c>
      <c r="B4" s="14">
        <f>COUNTIF(Selections!$E$1:$Z$77,"Vijay Singh")</f>
        <v>15</v>
      </c>
      <c r="C4" s="24" t="s">
        <v>173</v>
      </c>
      <c r="D4" s="68" t="s">
        <v>311</v>
      </c>
      <c r="E4" s="3"/>
    </row>
    <row r="5" spans="1:5" ht="12.75">
      <c r="A5" s="4" t="s">
        <v>45</v>
      </c>
      <c r="B5" s="14">
        <f>COUNTIF(Selections!$E$1:$Z$77,"Retief Goosen")</f>
        <v>11</v>
      </c>
      <c r="C5" s="24" t="s">
        <v>173</v>
      </c>
      <c r="D5" s="68" t="s">
        <v>312</v>
      </c>
      <c r="E5" s="3"/>
    </row>
    <row r="6" spans="1:5" ht="12.75">
      <c r="A6" s="4" t="s">
        <v>43</v>
      </c>
      <c r="B6" s="14">
        <f>COUNTIF(Selections!$E$1:$Z$77,"Jim Furyk")</f>
        <v>5</v>
      </c>
      <c r="C6" s="25" t="s">
        <v>173</v>
      </c>
      <c r="D6" s="68" t="s">
        <v>313</v>
      </c>
      <c r="E6" s="3"/>
    </row>
    <row r="7" spans="1:5" ht="12.75">
      <c r="A7" s="4" t="s">
        <v>40</v>
      </c>
      <c r="B7" s="14">
        <f>COUNTIF(Selections!$E$1:$Z$77,"Ernie Els")</f>
        <v>4</v>
      </c>
      <c r="C7" s="24" t="s">
        <v>173</v>
      </c>
      <c r="D7" s="68" t="s">
        <v>314</v>
      </c>
      <c r="E7" s="3"/>
    </row>
    <row r="8" spans="1:5" ht="12.75">
      <c r="A8" s="4" t="s">
        <v>47</v>
      </c>
      <c r="B8" s="14">
        <f>COUNTIF(Selections!$E$1:$Z$77,"Padraig Harrington")</f>
        <v>4</v>
      </c>
      <c r="C8" s="24" t="s">
        <v>173</v>
      </c>
      <c r="D8" s="68" t="s">
        <v>315</v>
      </c>
      <c r="E8" s="3"/>
    </row>
    <row r="9" spans="1:5" ht="12.75">
      <c r="A9" s="4" t="s">
        <v>31</v>
      </c>
      <c r="B9" s="14">
        <f>COUNTIF(Selections!$E$1:$Z$77,"Stuart Appleby")</f>
        <v>4</v>
      </c>
      <c r="C9" s="25" t="s">
        <v>173</v>
      </c>
      <c r="D9" s="68" t="s">
        <v>316</v>
      </c>
      <c r="E9" s="3"/>
    </row>
    <row r="10" spans="1:5" ht="12.75">
      <c r="A10" s="4" t="s">
        <v>44</v>
      </c>
      <c r="B10" s="14">
        <f>COUNTIF(Selections!$E$1:$Z$77,"Sergio Garcia")</f>
        <v>3</v>
      </c>
      <c r="C10" s="24" t="s">
        <v>173</v>
      </c>
      <c r="D10" s="68" t="s">
        <v>317</v>
      </c>
      <c r="E10" s="3"/>
    </row>
    <row r="11" spans="1:5" ht="12.75">
      <c r="A11" s="4" t="s">
        <v>71</v>
      </c>
      <c r="B11" s="14">
        <f>COUNTIF(Selections!$E$1:$Z$77,"David Toms")</f>
        <v>2</v>
      </c>
      <c r="C11" s="24" t="s">
        <v>173</v>
      </c>
      <c r="D11" s="68" t="s">
        <v>318</v>
      </c>
      <c r="E11" s="3"/>
    </row>
    <row r="12" spans="1:5" ht="12.75">
      <c r="A12" s="5" t="s">
        <v>182</v>
      </c>
      <c r="B12" s="14">
        <f>COUNTIF(Selections!$E$1:$Z$77,"Justin Leonard")</f>
        <v>0</v>
      </c>
      <c r="C12" s="24" t="s">
        <v>173</v>
      </c>
      <c r="D12" s="68" t="s">
        <v>319</v>
      </c>
      <c r="E12" s="3"/>
    </row>
    <row r="13" spans="1:5" ht="12.75">
      <c r="A13" s="4" t="s">
        <v>74</v>
      </c>
      <c r="B13" s="14">
        <f>COUNTIF(Selections!$E$1:$Z$77,"Mike Weir")</f>
        <v>0</v>
      </c>
      <c r="C13" s="25" t="s">
        <v>173</v>
      </c>
      <c r="D13" s="68" t="s">
        <v>320</v>
      </c>
      <c r="E13" s="3"/>
    </row>
    <row r="14" spans="1:4" ht="12.75">
      <c r="A14" s="6" t="s">
        <v>58</v>
      </c>
      <c r="B14" s="15">
        <f>COUNTIF(Selections!$E$1:$Z$77,"Geoff Ogilvy")</f>
        <v>35</v>
      </c>
      <c r="C14" s="26" t="s">
        <v>175</v>
      </c>
      <c r="D14" s="68" t="s">
        <v>323</v>
      </c>
    </row>
    <row r="15" spans="1:4" ht="12.75">
      <c r="A15" s="6" t="s">
        <v>65</v>
      </c>
      <c r="B15" s="15">
        <f>COUNTIF(Selections!$E$1:$Z$77,"Adam Scott")</f>
        <v>22</v>
      </c>
      <c r="C15" s="27" t="s">
        <v>175</v>
      </c>
      <c r="D15" s="68" t="s">
        <v>314</v>
      </c>
    </row>
    <row r="16" spans="1:4" ht="12.75">
      <c r="A16" s="6" t="s">
        <v>84</v>
      </c>
      <c r="B16" s="15">
        <f>COUNTIF(Selections!$E$1:$Z$77,"K.J. Choi")</f>
        <v>22</v>
      </c>
      <c r="C16" s="27" t="s">
        <v>175</v>
      </c>
      <c r="D16" s="68" t="s">
        <v>313</v>
      </c>
    </row>
    <row r="17" spans="1:4" ht="12.75">
      <c r="A17" s="6" t="s">
        <v>39</v>
      </c>
      <c r="B17" s="15">
        <f>COUNTIF(Selections!$E$1:$Z$77,"Luke Donald")</f>
        <v>14</v>
      </c>
      <c r="C17" s="26" t="s">
        <v>175</v>
      </c>
      <c r="D17" s="68" t="s">
        <v>324</v>
      </c>
    </row>
    <row r="18" spans="1:4" ht="12.75">
      <c r="A18" s="6" t="s">
        <v>126</v>
      </c>
      <c r="B18" s="15">
        <f>COUNTIF(Selections!$E$1:$Z$77,"Aaron Baddeley")</f>
        <v>8</v>
      </c>
      <c r="C18" s="26" t="s">
        <v>175</v>
      </c>
      <c r="D18" s="68" t="s">
        <v>321</v>
      </c>
    </row>
    <row r="19" spans="1:4" ht="12.75">
      <c r="A19" s="6" t="s">
        <v>145</v>
      </c>
      <c r="B19" s="15">
        <f>COUNTIF(Selections!$E$1:$Z$77,"Justin Rose")</f>
        <v>9</v>
      </c>
      <c r="C19" s="26" t="s">
        <v>175</v>
      </c>
      <c r="D19" s="68" t="s">
        <v>313</v>
      </c>
    </row>
    <row r="20" spans="1:4" ht="12.75">
      <c r="A20" s="6" t="s">
        <v>99</v>
      </c>
      <c r="B20" s="15">
        <f>COUNTIF(Selections!$E$1:$Z$77,"Angel Cabrerra")</f>
        <v>7</v>
      </c>
      <c r="C20" s="27" t="s">
        <v>175</v>
      </c>
      <c r="D20" s="68" t="s">
        <v>320</v>
      </c>
    </row>
    <row r="21" spans="1:4" ht="12.75">
      <c r="A21" s="6" t="s">
        <v>60</v>
      </c>
      <c r="B21" s="15">
        <f>COUNTIF(Selections!$E$1:$Z$77,"Jose Maria Olazabal")</f>
        <v>7</v>
      </c>
      <c r="C21" s="26" t="s">
        <v>175</v>
      </c>
      <c r="D21" s="68" t="s">
        <v>319</v>
      </c>
    </row>
    <row r="22" spans="1:4" ht="12.75">
      <c r="A22" s="6" t="s">
        <v>34</v>
      </c>
      <c r="B22" s="15">
        <f>COUNTIF(Selections!$E$1:$Z$77,"Stewart Cink")</f>
        <v>7</v>
      </c>
      <c r="C22" s="27" t="s">
        <v>175</v>
      </c>
      <c r="D22" s="68" t="s">
        <v>321</v>
      </c>
    </row>
    <row r="23" spans="1:4" ht="12.75">
      <c r="A23" s="6" t="s">
        <v>49</v>
      </c>
      <c r="B23" s="15">
        <f>COUNTIF(Selections!$E$1:$Z$77,"Zach Johnson")</f>
        <v>4</v>
      </c>
      <c r="C23" s="27" t="s">
        <v>175</v>
      </c>
      <c r="D23" s="68" t="s">
        <v>317</v>
      </c>
    </row>
    <row r="24" spans="1:4" ht="12.75">
      <c r="A24" s="6" t="s">
        <v>32</v>
      </c>
      <c r="B24" s="15">
        <f>COUNTIF(Selections!$E$1:$Z$77,"Michael Campbell")</f>
        <v>3</v>
      </c>
      <c r="C24" s="27" t="s">
        <v>175</v>
      </c>
      <c r="D24" s="68" t="s">
        <v>325</v>
      </c>
    </row>
    <row r="25" spans="1:4" ht="12.75">
      <c r="A25" s="6" t="s">
        <v>83</v>
      </c>
      <c r="B25" s="15">
        <f>COUNTIF(Selections!$E$1:$Z$77,"Miguel Jimenez")</f>
        <v>3</v>
      </c>
      <c r="C25" s="27" t="s">
        <v>175</v>
      </c>
      <c r="D25" s="68" t="s">
        <v>325</v>
      </c>
    </row>
    <row r="26" spans="1:4" ht="12.75">
      <c r="A26" s="6" t="s">
        <v>72</v>
      </c>
      <c r="B26" s="15">
        <f>COUNTIF(Selections!$E$1:$Z$77,"Scott Verplank")</f>
        <v>3</v>
      </c>
      <c r="C26" s="27" t="s">
        <v>175</v>
      </c>
      <c r="D26" s="68" t="s">
        <v>319</v>
      </c>
    </row>
    <row r="27" spans="1:4" ht="12.75">
      <c r="A27" s="6" t="s">
        <v>150</v>
      </c>
      <c r="B27" s="15">
        <f>COUNTIF(Selections!$E$1:$Z$77,"Mark Calcavecchia")</f>
        <v>2</v>
      </c>
      <c r="C27" s="26" t="s">
        <v>175</v>
      </c>
      <c r="D27" s="68" t="s">
        <v>322</v>
      </c>
    </row>
    <row r="28" spans="1:4" ht="12.75">
      <c r="A28" s="6" t="s">
        <v>29</v>
      </c>
      <c r="B28" s="15">
        <f>COUNTIF(Selections!$E$1:$Z$77,"Robert Allenby")</f>
        <v>2</v>
      </c>
      <c r="C28" s="27" t="s">
        <v>175</v>
      </c>
      <c r="D28" s="68" t="s">
        <v>318</v>
      </c>
    </row>
    <row r="29" spans="1:4" ht="12.75">
      <c r="A29" s="6" t="s">
        <v>48</v>
      </c>
      <c r="B29" s="15">
        <f>COUNTIF(Selections!$E$1:$Z$77,"Trevor Immelman")</f>
        <v>3</v>
      </c>
      <c r="C29" s="27" t="s">
        <v>175</v>
      </c>
      <c r="D29" s="68" t="s">
        <v>318</v>
      </c>
    </row>
    <row r="30" spans="1:4" ht="12.75">
      <c r="A30" s="6" t="s">
        <v>101</v>
      </c>
      <c r="B30" s="15">
        <f>COUNTIF(Selections!$E$1:$Z$77,"Charles Howell")</f>
        <v>1</v>
      </c>
      <c r="C30" s="26" t="s">
        <v>175</v>
      </c>
      <c r="D30" s="68" t="s">
        <v>322</v>
      </c>
    </row>
    <row r="31" spans="1:4" ht="12.75">
      <c r="A31" s="6" t="s">
        <v>75</v>
      </c>
      <c r="B31" s="15">
        <f>COUNTIF(Selections!$E$1:$Z$77,"Lee Westwood")</f>
        <v>1</v>
      </c>
      <c r="C31" s="26" t="s">
        <v>175</v>
      </c>
      <c r="D31" s="68" t="s">
        <v>316</v>
      </c>
    </row>
    <row r="32" spans="1:4" ht="12.75">
      <c r="A32" s="7" t="s">
        <v>69</v>
      </c>
      <c r="B32" s="16">
        <f>COUNTIF(Selections!$E$1:$Z$77,"Steve Stricker")</f>
        <v>37</v>
      </c>
      <c r="C32" s="28" t="s">
        <v>176</v>
      </c>
      <c r="D32" s="68" t="s">
        <v>330</v>
      </c>
    </row>
    <row r="33" spans="1:4" ht="12.75">
      <c r="A33" s="7" t="s">
        <v>64</v>
      </c>
      <c r="B33" s="16">
        <f>COUNTIF(Selections!$E$1:$Z$77,"Rory Sabbatini")</f>
        <v>17</v>
      </c>
      <c r="C33" s="28" t="s">
        <v>176</v>
      </c>
      <c r="D33" s="68" t="s">
        <v>321</v>
      </c>
    </row>
    <row r="34" spans="1:4" ht="12.75">
      <c r="A34" s="7" t="s">
        <v>33</v>
      </c>
      <c r="B34" s="16">
        <f>COUNTIF(Selections!$E$1:$Z$77,"Paul Casey")</f>
        <v>11</v>
      </c>
      <c r="C34" s="28" t="s">
        <v>176</v>
      </c>
      <c r="D34" s="68" t="s">
        <v>331</v>
      </c>
    </row>
    <row r="35" spans="1:4" ht="12.75">
      <c r="A35" s="7" t="s">
        <v>68</v>
      </c>
      <c r="B35" s="16">
        <f>COUNTIF(Selections!$E$1:$Z$77,"Henrik Stenson")</f>
        <v>10</v>
      </c>
      <c r="C35" s="28" t="s">
        <v>176</v>
      </c>
      <c r="D35" s="68" t="s">
        <v>317</v>
      </c>
    </row>
    <row r="36" spans="1:4" ht="12.75">
      <c r="A36" s="8" t="s">
        <v>183</v>
      </c>
      <c r="B36" s="16">
        <f>COUNTIF(Selections!$E$1:$Z$77,"Bubba Watson")</f>
        <v>9</v>
      </c>
      <c r="C36" s="28" t="s">
        <v>176</v>
      </c>
      <c r="D36" s="68" t="s">
        <v>328</v>
      </c>
    </row>
    <row r="37" spans="1:4" ht="12.75">
      <c r="A37" s="8" t="s">
        <v>185</v>
      </c>
      <c r="B37" s="16">
        <f>COUNTIF(Selections!$E$1:$Z$77,"J. B. Holmes")</f>
        <v>8</v>
      </c>
      <c r="C37" s="28" t="s">
        <v>176</v>
      </c>
      <c r="D37" s="68" t="s">
        <v>326</v>
      </c>
    </row>
    <row r="38" spans="1:4" ht="12.75">
      <c r="A38" s="7" t="s">
        <v>35</v>
      </c>
      <c r="B38" s="16">
        <f>COUNTIF(Selections!$E$1:$Z$77,"Tim Clark")</f>
        <v>8</v>
      </c>
      <c r="C38" s="28" t="s">
        <v>176</v>
      </c>
      <c r="D38" s="68" t="s">
        <v>319</v>
      </c>
    </row>
    <row r="39" spans="1:4" ht="12.75">
      <c r="A39" s="7" t="s">
        <v>30</v>
      </c>
      <c r="B39" s="16">
        <f>COUNTIF(Selections!$E$1:$Z$77,"Stephen Ames")</f>
        <v>7</v>
      </c>
      <c r="C39" s="28" t="s">
        <v>176</v>
      </c>
      <c r="D39" s="68" t="s">
        <v>318</v>
      </c>
    </row>
    <row r="40" spans="1:4" ht="12.75">
      <c r="A40" s="7" t="s">
        <v>51</v>
      </c>
      <c r="B40" s="16">
        <f>COUNTIF(Selections!$E$1:$Z$77,"Jerry Kelly")</f>
        <v>6</v>
      </c>
      <c r="C40" s="28" t="s">
        <v>176</v>
      </c>
      <c r="D40" s="68" t="s">
        <v>326</v>
      </c>
    </row>
    <row r="41" spans="1:4" ht="12.75">
      <c r="A41" s="8" t="s">
        <v>186</v>
      </c>
      <c r="B41" s="16">
        <f>COUNTIF(Selections!$E$1:$Z$77,"Peter Lonard")</f>
        <v>6</v>
      </c>
      <c r="C41" s="28" t="s">
        <v>176</v>
      </c>
      <c r="D41" s="68" t="s">
        <v>327</v>
      </c>
    </row>
    <row r="42" spans="1:4" ht="12.75">
      <c r="A42" s="7" t="s">
        <v>104</v>
      </c>
      <c r="B42" s="16">
        <f>COUNTIF(Selections!$E$1:$Z$77,"Camilo Villegas")</f>
        <v>5</v>
      </c>
      <c r="C42" s="28" t="s">
        <v>176</v>
      </c>
      <c r="D42" s="68" t="s">
        <v>327</v>
      </c>
    </row>
    <row r="43" spans="1:4" ht="12.75">
      <c r="A43" s="8" t="s">
        <v>187</v>
      </c>
      <c r="B43" s="16">
        <f>COUNTIF(Selections!$E$1:$Z$77,"Hunter Mahan")</f>
        <v>5</v>
      </c>
      <c r="C43" s="28" t="s">
        <v>176</v>
      </c>
      <c r="D43" s="68" t="s">
        <v>319</v>
      </c>
    </row>
    <row r="44" spans="1:4" ht="12.75">
      <c r="A44" s="7" t="s">
        <v>70</v>
      </c>
      <c r="B44" s="16">
        <f>COUNTIF(Selections!$E$1:$Z$77,"Vaughn Taylor")</f>
        <v>4</v>
      </c>
      <c r="C44" s="28" t="s">
        <v>176</v>
      </c>
      <c r="D44" s="68" t="s">
        <v>327</v>
      </c>
    </row>
    <row r="45" spans="1:4" ht="12.75">
      <c r="A45" s="7" t="s">
        <v>57</v>
      </c>
      <c r="B45" s="16">
        <f>COUNTIF(Selections!$E$1:$Z$77,"Aaron Oberholser")</f>
        <v>3</v>
      </c>
      <c r="C45" s="28" t="s">
        <v>176</v>
      </c>
      <c r="D45" s="68" t="s">
        <v>329</v>
      </c>
    </row>
    <row r="46" spans="1:4" ht="12.75">
      <c r="A46" s="7" t="s">
        <v>41</v>
      </c>
      <c r="B46" s="16">
        <f>COUNTIF(Selections!$E$1:$Z$77,"Niclas Fasth")</f>
        <v>3</v>
      </c>
      <c r="C46" s="28" t="s">
        <v>176</v>
      </c>
      <c r="D46" s="68" t="s">
        <v>322</v>
      </c>
    </row>
    <row r="47" spans="1:4" ht="12.75">
      <c r="A47" s="7" t="s">
        <v>81</v>
      </c>
      <c r="B47" s="16">
        <f>COUNTIF(Selections!$E$1:$Z$77,"Brett Wetterich")</f>
        <v>2</v>
      </c>
      <c r="C47" s="28" t="s">
        <v>176</v>
      </c>
      <c r="D47" s="68" t="s">
        <v>326</v>
      </c>
    </row>
    <row r="48" spans="1:4" ht="12.75">
      <c r="A48" s="7" t="s">
        <v>63</v>
      </c>
      <c r="B48" s="16">
        <f>COUNTIF(Selections!$E$1:$Z$77,"Ian Poulter")</f>
        <v>2</v>
      </c>
      <c r="C48" s="28" t="s">
        <v>176</v>
      </c>
      <c r="D48" s="68" t="s">
        <v>322</v>
      </c>
    </row>
    <row r="49" spans="1:4" ht="12.75">
      <c r="A49" s="7" t="s">
        <v>80</v>
      </c>
      <c r="B49" s="16">
        <f>COUNTIF(Selections!$E$1:$Z$77,"Jeev Milkha Singh")</f>
        <v>2</v>
      </c>
      <c r="C49" s="28" t="s">
        <v>176</v>
      </c>
      <c r="D49" s="68" t="s">
        <v>333</v>
      </c>
    </row>
    <row r="50" spans="1:4" ht="12.75">
      <c r="A50" s="7" t="s">
        <v>128</v>
      </c>
      <c r="B50" s="16">
        <f>COUNTIF(Selections!$E$1:$Z$77,"John Rollins")</f>
        <v>2</v>
      </c>
      <c r="C50" s="28" t="s">
        <v>176</v>
      </c>
      <c r="D50" s="68" t="s">
        <v>332</v>
      </c>
    </row>
    <row r="51" spans="1:4" ht="12.75">
      <c r="A51" s="7" t="s">
        <v>59</v>
      </c>
      <c r="B51" s="16">
        <f>COUNTIF(Selections!$E$1:$Z$77,"Nick O'Hern")</f>
        <v>2</v>
      </c>
      <c r="C51" s="28" t="s">
        <v>176</v>
      </c>
      <c r="D51" s="68" t="s">
        <v>329</v>
      </c>
    </row>
    <row r="52" spans="1:4" ht="12.75">
      <c r="A52" s="8" t="s">
        <v>184</v>
      </c>
      <c r="B52" s="16">
        <f>COUNTIF(Selections!$E$1:$Z$77,"Jonathon Byrd")</f>
        <v>1</v>
      </c>
      <c r="C52" s="28" t="s">
        <v>176</v>
      </c>
      <c r="D52" s="68" t="s">
        <v>322</v>
      </c>
    </row>
    <row r="53" spans="1:4" ht="12.75">
      <c r="A53" s="7" t="s">
        <v>54</v>
      </c>
      <c r="B53" s="16">
        <f>COUNTIF(Selections!$E$1:$Z$77,"Shaun Micheel")</f>
        <v>1</v>
      </c>
      <c r="C53" s="28" t="s">
        <v>176</v>
      </c>
      <c r="D53" s="68" t="s">
        <v>326</v>
      </c>
    </row>
    <row r="54" spans="1:4" ht="12.75">
      <c r="A54" s="7" t="s">
        <v>50</v>
      </c>
      <c r="B54" s="16">
        <f>COUNTIF(Selections!$E$1:$Z$77,"Shingo Katayama")</f>
        <v>1</v>
      </c>
      <c r="C54" s="28" t="s">
        <v>176</v>
      </c>
      <c r="D54" s="68" t="s">
        <v>326</v>
      </c>
    </row>
    <row r="55" spans="1:4" ht="12.75">
      <c r="A55" s="7" t="s">
        <v>38</v>
      </c>
      <c r="B55" s="16">
        <f>COUNTIF(Selections!$E$1:$Z$77,"Ben Curtis")</f>
        <v>0</v>
      </c>
      <c r="C55" s="28" t="s">
        <v>176</v>
      </c>
      <c r="D55" s="68" t="s">
        <v>326</v>
      </c>
    </row>
    <row r="56" spans="1:4" ht="12.75">
      <c r="A56" s="9" t="s">
        <v>201</v>
      </c>
      <c r="B56" s="17">
        <f>COUNTIF(Selections!$E$1:$Z$77,"Sean O'Hair")</f>
        <v>26</v>
      </c>
      <c r="C56" s="29" t="s">
        <v>172</v>
      </c>
      <c r="D56" s="68" t="s">
        <v>319</v>
      </c>
    </row>
    <row r="57" spans="1:4" ht="12.75">
      <c r="A57" s="9" t="s">
        <v>203</v>
      </c>
      <c r="B57" s="17">
        <f>COUNTIF(Selections!$E$1:$Z$77,"Anders Romero")</f>
        <v>17</v>
      </c>
      <c r="C57" s="29" t="s">
        <v>172</v>
      </c>
      <c r="D57" s="68" t="s">
        <v>319</v>
      </c>
    </row>
    <row r="58" spans="1:4" ht="12.75">
      <c r="A58" s="9" t="s">
        <v>191</v>
      </c>
      <c r="B58" s="17">
        <f>COUNTIF(Selections!$E$1:$Z$77,"Daniel Chopra")</f>
        <v>17</v>
      </c>
      <c r="C58" s="29" t="s">
        <v>172</v>
      </c>
      <c r="D58" s="68" t="s">
        <v>332</v>
      </c>
    </row>
    <row r="59" spans="1:4" ht="12.75">
      <c r="A59" s="9" t="s">
        <v>190</v>
      </c>
      <c r="B59" s="17">
        <f>COUNTIF(Selections!$E$1:$Z$77,"Boo Weekley")</f>
        <v>12</v>
      </c>
      <c r="C59" s="29" t="s">
        <v>172</v>
      </c>
      <c r="D59" s="68" t="s">
        <v>322</v>
      </c>
    </row>
    <row r="60" spans="1:4" ht="12.75">
      <c r="A60" s="9" t="s">
        <v>188</v>
      </c>
      <c r="B60" s="17">
        <f>COUNTIF(Selections!$E$1:$Z$77,"Woody Austin")</f>
        <v>12</v>
      </c>
      <c r="C60" s="29" t="s">
        <v>172</v>
      </c>
      <c r="D60" s="68" t="s">
        <v>322</v>
      </c>
    </row>
    <row r="61" spans="1:4" ht="12.75">
      <c r="A61" s="9" t="s">
        <v>206</v>
      </c>
      <c r="B61" s="17">
        <f>COUNTIF(Selections!$E$1:$Z$77,"Brandt Snedeker")</f>
        <v>10</v>
      </c>
      <c r="C61" s="29" t="s">
        <v>172</v>
      </c>
      <c r="D61" s="68" t="s">
        <v>322</v>
      </c>
    </row>
    <row r="62" spans="1:4" ht="12.75">
      <c r="A62" s="9" t="s">
        <v>198</v>
      </c>
      <c r="B62" s="17">
        <f>COUNTIF(Selections!$E$1:$Z$77,"Steve Lowery")</f>
        <v>7</v>
      </c>
      <c r="C62" s="29" t="s">
        <v>172</v>
      </c>
      <c r="D62" s="68" t="s">
        <v>336</v>
      </c>
    </row>
    <row r="63" spans="1:4" ht="12.75">
      <c r="A63" s="9" t="s">
        <v>199</v>
      </c>
      <c r="B63" s="17">
        <f>COUNTIF(Selections!$E$1:$Z$77,"Nick Watney")</f>
        <v>6</v>
      </c>
      <c r="C63" s="29" t="s">
        <v>172</v>
      </c>
      <c r="D63" s="68" t="s">
        <v>332</v>
      </c>
    </row>
    <row r="64" spans="1:4" ht="12.75">
      <c r="A64" s="9" t="s">
        <v>193</v>
      </c>
      <c r="B64" s="17">
        <f>COUNTIF(Selections!$E$1:$Z$77,"Steve Flesch")</f>
        <v>6</v>
      </c>
      <c r="C64" s="29" t="s">
        <v>172</v>
      </c>
      <c r="D64" s="68" t="s">
        <v>334</v>
      </c>
    </row>
    <row r="65" spans="1:4" ht="12.75">
      <c r="A65" s="9" t="s">
        <v>205</v>
      </c>
      <c r="B65" s="17">
        <f>COUNTIF(Selections!$E$1:$Z$77,"Heath Slocum")</f>
        <v>4</v>
      </c>
      <c r="C65" s="29" t="s">
        <v>172</v>
      </c>
      <c r="D65" s="68" t="s">
        <v>335</v>
      </c>
    </row>
    <row r="66" spans="1:4" ht="12.75">
      <c r="A66" s="9" t="s">
        <v>204</v>
      </c>
      <c r="B66" s="17">
        <f>COUNTIF(Selections!$E$1:$Z$77,"John Senden")</f>
        <v>4</v>
      </c>
      <c r="C66" s="29" t="s">
        <v>172</v>
      </c>
      <c r="D66" s="68" t="s">
        <v>334</v>
      </c>
    </row>
    <row r="67" spans="1:4" ht="12.75">
      <c r="A67" s="10" t="s">
        <v>79</v>
      </c>
      <c r="B67" s="17">
        <f>COUNTIF(Selections!$E$1:$Z$77,"Robert Karlsson")</f>
        <v>4</v>
      </c>
      <c r="C67" s="29" t="s">
        <v>172</v>
      </c>
      <c r="D67" s="68" t="s">
        <v>338</v>
      </c>
    </row>
    <row r="68" spans="1:4" ht="12.75">
      <c r="A68" s="10" t="s">
        <v>46</v>
      </c>
      <c r="B68" s="17">
        <f>COUNTIF(Selections!$E$1:$Z$77,"Todd Hamilton")</f>
        <v>4</v>
      </c>
      <c r="C68" s="29" t="s">
        <v>172</v>
      </c>
      <c r="D68" s="68" t="s">
        <v>337</v>
      </c>
    </row>
    <row r="69" spans="1:4" ht="12.75">
      <c r="A69" s="9" t="s">
        <v>209</v>
      </c>
      <c r="B69" s="17">
        <f>COUNTIF(Selections!$E$1:$Z$77,"D. J. Trahan")</f>
        <v>3</v>
      </c>
      <c r="C69" s="29" t="s">
        <v>172</v>
      </c>
      <c r="D69" s="68" t="s">
        <v>334</v>
      </c>
    </row>
    <row r="70" spans="1:4" ht="12.75">
      <c r="A70" s="9" t="s">
        <v>202</v>
      </c>
      <c r="B70" s="17">
        <f>COUNTIF(Selections!$E$1:$Z$77,"Lian Wen-Chong")</f>
        <v>3</v>
      </c>
      <c r="C70" s="29" t="s">
        <v>172</v>
      </c>
      <c r="D70" s="68" t="s">
        <v>336</v>
      </c>
    </row>
    <row r="71" spans="1:4" ht="12.75">
      <c r="A71" s="9" t="s">
        <v>192</v>
      </c>
      <c r="B71" s="17">
        <f>COUNTIF(Selections!$E$1:$Z$77,"Nick Dougherty")</f>
        <v>3</v>
      </c>
      <c r="C71" s="29" t="s">
        <v>172</v>
      </c>
      <c r="D71" s="68" t="s">
        <v>336</v>
      </c>
    </row>
    <row r="72" spans="1:4" ht="12.75">
      <c r="A72" s="9" t="s">
        <v>196</v>
      </c>
      <c r="B72" s="17">
        <f>COUNTIF(Selections!$E$1:$Z$77,"Soren Hansen")</f>
        <v>3</v>
      </c>
      <c r="C72" s="29" t="s">
        <v>172</v>
      </c>
      <c r="D72" s="68" t="s">
        <v>339</v>
      </c>
    </row>
    <row r="73" spans="1:4" ht="12.75">
      <c r="A73" s="9" t="s">
        <v>208</v>
      </c>
      <c r="B73" s="17">
        <f>COUNTIF(Selections!$E$1:$Z$77,"Toru Taniguchi")</f>
        <v>3</v>
      </c>
      <c r="C73" s="29" t="s">
        <v>172</v>
      </c>
      <c r="D73" s="68" t="s">
        <v>338</v>
      </c>
    </row>
    <row r="74" spans="1:4" ht="12.75">
      <c r="A74" s="9" t="s">
        <v>189</v>
      </c>
      <c r="B74" s="17">
        <f>COUNTIF(Selections!$E$1:$Z$77,"Brian Bateman")</f>
        <v>2</v>
      </c>
      <c r="C74" s="29" t="s">
        <v>172</v>
      </c>
      <c r="D74" s="68" t="s">
        <v>334</v>
      </c>
    </row>
    <row r="75" spans="1:4" ht="12.75">
      <c r="A75" s="9" t="s">
        <v>197</v>
      </c>
      <c r="B75" s="17">
        <f>COUNTIF(Selections!$E$1:$Z$77,"Martin Kaymer")</f>
        <v>2</v>
      </c>
      <c r="C75" s="29" t="s">
        <v>172</v>
      </c>
      <c r="D75" s="68" t="s">
        <v>337</v>
      </c>
    </row>
    <row r="76" spans="1:4" ht="12.75">
      <c r="A76" s="9" t="s">
        <v>195</v>
      </c>
      <c r="B76" s="17">
        <f>COUNTIF(Selections!$E$1:$Z$77,"Anders Hansen")</f>
        <v>1</v>
      </c>
      <c r="C76" s="29" t="s">
        <v>172</v>
      </c>
      <c r="D76" s="68" t="s">
        <v>332</v>
      </c>
    </row>
    <row r="77" spans="1:4" ht="12.75">
      <c r="A77" s="9" t="s">
        <v>200</v>
      </c>
      <c r="B77" s="17">
        <f>COUNTIF(Selections!$E$1:$Z$77,"Prayad Marksaeng")</f>
        <v>1</v>
      </c>
      <c r="C77" s="29" t="s">
        <v>172</v>
      </c>
      <c r="D77" s="68" t="s">
        <v>337</v>
      </c>
    </row>
    <row r="78" spans="1:4" ht="12.75">
      <c r="A78" s="9" t="s">
        <v>194</v>
      </c>
      <c r="B78" s="17">
        <f>COUNTIF(Selections!$E$1:$Z$77,"Richard Green")</f>
        <v>1</v>
      </c>
      <c r="C78" s="29" t="s">
        <v>172</v>
      </c>
      <c r="D78" s="68" t="s">
        <v>337</v>
      </c>
    </row>
    <row r="79" spans="1:4" ht="12.75">
      <c r="A79" s="9" t="s">
        <v>207</v>
      </c>
      <c r="B79" s="17">
        <f>COUNTIF(Selections!$E$1:$Z$77,"Richard Steme")</f>
        <v>1</v>
      </c>
      <c r="C79" s="29" t="s">
        <v>172</v>
      </c>
      <c r="D79" s="68" t="s">
        <v>337</v>
      </c>
    </row>
    <row r="80" spans="1:4" ht="12.75">
      <c r="A80" s="11" t="s">
        <v>36</v>
      </c>
      <c r="B80" s="18">
        <f>COUNTIF(Selections!$E$1:$Z$77,"Fred Couples")</f>
        <v>69</v>
      </c>
      <c r="C80" s="30" t="s">
        <v>174</v>
      </c>
      <c r="D80" s="68" t="s">
        <v>320</v>
      </c>
    </row>
    <row r="81" spans="1:4" ht="12.75">
      <c r="A81" s="11" t="s">
        <v>52</v>
      </c>
      <c r="B81" s="18">
        <f>COUNTIF(Selections!$E$1:$Z$77,"Bernhard Langer")</f>
        <v>50</v>
      </c>
      <c r="C81" s="30" t="s">
        <v>174</v>
      </c>
      <c r="D81" s="68" t="s">
        <v>328</v>
      </c>
    </row>
    <row r="82" spans="1:4" ht="12.75">
      <c r="A82" s="11" t="s">
        <v>61</v>
      </c>
      <c r="B82" s="18">
        <f>COUNTIF(Selections!$E$1:$Z$77,"Mark O'Meara")</f>
        <v>20</v>
      </c>
      <c r="C82" s="30" t="s">
        <v>174</v>
      </c>
      <c r="D82" s="68" t="s">
        <v>332</v>
      </c>
    </row>
    <row r="83" spans="1:4" ht="12.75">
      <c r="A83" s="11" t="s">
        <v>73</v>
      </c>
      <c r="B83" s="18">
        <f>COUNTIF(Selections!$E$1:$Z$77,"Tom Watson")</f>
        <v>8</v>
      </c>
      <c r="C83" s="31" t="s">
        <v>174</v>
      </c>
      <c r="D83" s="68" t="s">
        <v>343</v>
      </c>
    </row>
    <row r="84" spans="1:4" ht="12.75">
      <c r="A84" s="11" t="s">
        <v>56</v>
      </c>
      <c r="B84" s="18">
        <f>COUNTIF(Selections!$E$1:$Z$77,"Larry Mize")</f>
        <v>2</v>
      </c>
      <c r="C84" s="30" t="s">
        <v>174</v>
      </c>
      <c r="D84" s="68" t="s">
        <v>337</v>
      </c>
    </row>
    <row r="85" spans="1:4" ht="12.75">
      <c r="A85" s="11" t="s">
        <v>67</v>
      </c>
      <c r="B85" s="18">
        <f>COUNTIF(Selections!$E$1:$Z$77,"Craig Stadler")</f>
        <v>0</v>
      </c>
      <c r="C85" s="31" t="s">
        <v>174</v>
      </c>
      <c r="D85" s="68" t="s">
        <v>339</v>
      </c>
    </row>
    <row r="86" spans="1:4" ht="12.75">
      <c r="A86" s="11" t="s">
        <v>78</v>
      </c>
      <c r="B86" s="18">
        <f>COUNTIF(Selections!$E$1:$Z$77,"Fuzzy Zoeller")</f>
        <v>1</v>
      </c>
      <c r="C86" s="31" t="s">
        <v>174</v>
      </c>
      <c r="D86" s="68" t="s">
        <v>339</v>
      </c>
    </row>
    <row r="87" spans="1:4" ht="12.75">
      <c r="A87" s="11" t="s">
        <v>77</v>
      </c>
      <c r="B87" s="18">
        <f>COUNTIF(Selections!$E$1:$Z$77,"Ian Woosnam")</f>
        <v>1</v>
      </c>
      <c r="C87" s="30" t="s">
        <v>174</v>
      </c>
      <c r="D87" s="68" t="s">
        <v>341</v>
      </c>
    </row>
    <row r="88" spans="1:4" ht="12.75">
      <c r="A88" s="11" t="s">
        <v>37</v>
      </c>
      <c r="B88" s="18">
        <f>COUNTIF(Selections!$E$1:$Z$77,"Ben Crenshaw")</f>
        <v>0</v>
      </c>
      <c r="C88" s="30" t="s">
        <v>174</v>
      </c>
      <c r="D88" s="68" t="s">
        <v>340</v>
      </c>
    </row>
    <row r="89" spans="1:4" ht="12.75">
      <c r="A89" s="11" t="s">
        <v>62</v>
      </c>
      <c r="B89" s="18">
        <f>COUNTIF(Selections!$E$1:$Z$77,"Gary Player")</f>
        <v>0</v>
      </c>
      <c r="C89" s="31" t="s">
        <v>174</v>
      </c>
      <c r="D89" s="68" t="s">
        <v>342</v>
      </c>
    </row>
    <row r="90" spans="1:4" ht="12.75">
      <c r="A90" s="11" t="s">
        <v>42</v>
      </c>
      <c r="B90" s="18">
        <f>COUNTIF(Selections!$E$1:$Z$77,"Raymond Floyd")</f>
        <v>0</v>
      </c>
      <c r="C90" s="31" t="s">
        <v>174</v>
      </c>
      <c r="D90" s="68" t="s">
        <v>343</v>
      </c>
    </row>
    <row r="91" spans="1:4" ht="12.75">
      <c r="A91" s="11" t="s">
        <v>53</v>
      </c>
      <c r="B91" s="18">
        <f>COUNTIF(Selections!$E$1:$Z$77,"Sandy Lyle")</f>
        <v>0</v>
      </c>
      <c r="C91" s="30" t="s">
        <v>174</v>
      </c>
      <c r="D91" s="68" t="s">
        <v>337</v>
      </c>
    </row>
    <row r="92" spans="1:4" ht="12.75">
      <c r="A92" s="12" t="s">
        <v>212</v>
      </c>
      <c r="B92" s="19">
        <f>COUNTIF(Selections!$E$1:$Z$77,"Trip Kuehne")</f>
        <v>39</v>
      </c>
      <c r="C92" s="32" t="s">
        <v>177</v>
      </c>
      <c r="D92" s="68" t="s">
        <v>340</v>
      </c>
    </row>
    <row r="93" spans="1:4" ht="12.75">
      <c r="A93" s="12" t="s">
        <v>211</v>
      </c>
      <c r="B93" s="19">
        <f>COUNTIF(Selections!$E$1:$Z$77,"Michael Thompson")</f>
        <v>27</v>
      </c>
      <c r="C93" s="32" t="s">
        <v>177</v>
      </c>
      <c r="D93" s="68" t="s">
        <v>341</v>
      </c>
    </row>
    <row r="94" spans="1:4" ht="13.5" thickBot="1">
      <c r="A94" s="13" t="s">
        <v>210</v>
      </c>
      <c r="B94" s="20">
        <f>COUNTIF(Selections!$E$1:$Z$77,"Drew Weaver")</f>
        <v>10</v>
      </c>
      <c r="C94" s="33" t="s">
        <v>177</v>
      </c>
      <c r="D94" s="69" t="s">
        <v>344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Inc.</dc:creator>
  <cp:keywords/>
  <dc:description/>
  <cp:lastModifiedBy>David Valento</cp:lastModifiedBy>
  <cp:lastPrinted>2007-04-06T13:57:41Z</cp:lastPrinted>
  <dcterms:created xsi:type="dcterms:W3CDTF">2007-03-20T03:18:45Z</dcterms:created>
  <dcterms:modified xsi:type="dcterms:W3CDTF">2022-04-06T05:56:56Z</dcterms:modified>
  <cp:category/>
  <cp:version/>
  <cp:contentType/>
  <cp:contentStatus/>
</cp:coreProperties>
</file>