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ale\Desktop\"/>
    </mc:Choice>
  </mc:AlternateContent>
  <xr:revisionPtr revIDLastSave="0" documentId="8_{891ACEEB-1EF2-433D-90DA-501035F871D6}" xr6:coauthVersionLast="45" xr6:coauthVersionMax="45" xr10:uidLastSave="{00000000-0000-0000-0000-000000000000}"/>
  <bookViews>
    <workbookView xWindow="2282" yWindow="2282" windowWidth="17729" windowHeight="6399"/>
  </bookViews>
  <sheets>
    <sheet name="Selections" sheetId="1" r:id="rId1"/>
    <sheet name="Totals" sheetId="2" r:id="rId2"/>
  </sheets>
  <definedNames>
    <definedName name="_xlnm._FilterDatabase" localSheetId="0" hidden="1">Selections!$B$1:$AA$80</definedName>
    <definedName name="OLE_LINK1" localSheetId="0">Selections!$C$20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24" i="1"/>
  <c r="E13" i="1"/>
  <c r="E40" i="1"/>
  <c r="E9" i="1"/>
  <c r="E37" i="1"/>
  <c r="E62" i="1"/>
  <c r="E56" i="1"/>
  <c r="E74" i="1"/>
  <c r="E61" i="1"/>
  <c r="E14" i="1"/>
  <c r="E73" i="1"/>
  <c r="E5" i="1"/>
  <c r="E69" i="1"/>
  <c r="E51" i="1"/>
  <c r="E20" i="1"/>
  <c r="E47" i="1"/>
  <c r="E79" i="1"/>
  <c r="E11" i="1"/>
  <c r="E6" i="1"/>
  <c r="E31" i="1"/>
  <c r="E39" i="1"/>
  <c r="E4" i="1"/>
  <c r="E34" i="1"/>
  <c r="E54" i="1"/>
  <c r="E27" i="1"/>
  <c r="E36" i="1"/>
  <c r="E2" i="1"/>
  <c r="E78" i="1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E70" i="1"/>
  <c r="E26" i="1"/>
  <c r="E50" i="1"/>
  <c r="E59" i="1"/>
  <c r="E21" i="1"/>
  <c r="E44" i="1"/>
  <c r="E65" i="1"/>
  <c r="E7" i="1"/>
  <c r="E17" i="1"/>
  <c r="E49" i="1"/>
  <c r="E16" i="1"/>
  <c r="E60" i="1"/>
  <c r="E3" i="1"/>
  <c r="E28" i="1"/>
  <c r="E67" i="1"/>
  <c r="E41" i="1"/>
  <c r="E80" i="1"/>
  <c r="E76" i="1"/>
  <c r="E58" i="1"/>
  <c r="E53" i="1"/>
  <c r="E66" i="1"/>
  <c r="E12" i="1"/>
  <c r="E25" i="1"/>
  <c r="E77" i="1"/>
  <c r="E33" i="1"/>
  <c r="E48" i="1"/>
  <c r="E71" i="1"/>
  <c r="E63" i="1"/>
  <c r="E22" i="1"/>
  <c r="E52" i="1"/>
  <c r="E75" i="1"/>
  <c r="E15" i="1"/>
  <c r="E19" i="1"/>
  <c r="E68" i="1"/>
  <c r="E10" i="1"/>
  <c r="E18" i="1"/>
  <c r="E35" i="1"/>
  <c r="E42" i="1"/>
  <c r="E43" i="1"/>
  <c r="E64" i="1"/>
  <c r="E45" i="1"/>
  <c r="E38" i="1"/>
  <c r="E72" i="1"/>
  <c r="E29" i="1"/>
  <c r="E57" i="1"/>
  <c r="E30" i="1"/>
  <c r="E23" i="1"/>
  <c r="E55" i="1"/>
  <c r="E8" i="1"/>
  <c r="E46" i="1"/>
</calcChain>
</file>

<file path=xl/sharedStrings.xml><?xml version="1.0" encoding="utf-8"?>
<sst xmlns="http://schemas.openxmlformats.org/spreadsheetml/2006/main" count="1500" uniqueCount="327">
  <si>
    <t>Group A.1 $</t>
  </si>
  <si>
    <t>Group A.1</t>
  </si>
  <si>
    <t>Group A.2</t>
  </si>
  <si>
    <t>Group A.2 $</t>
  </si>
  <si>
    <t>Group B.1 $</t>
  </si>
  <si>
    <t>Group B.2 $</t>
  </si>
  <si>
    <t>Group C.1 $</t>
  </si>
  <si>
    <t>Group C.2 $</t>
  </si>
  <si>
    <t>Group D.2</t>
  </si>
  <si>
    <t>Group D.1</t>
  </si>
  <si>
    <t>Group D.2 $</t>
  </si>
  <si>
    <t>Group D.1 $</t>
  </si>
  <si>
    <t>Group C.2</t>
  </si>
  <si>
    <t>Group C.1</t>
  </si>
  <si>
    <t>Group B.2</t>
  </si>
  <si>
    <t>Group B.1</t>
  </si>
  <si>
    <t>Group E.1</t>
  </si>
  <si>
    <t>Group E.1 $</t>
  </si>
  <si>
    <t>Group E.2 $</t>
  </si>
  <si>
    <t>Group F.1 $</t>
  </si>
  <si>
    <t>Group E.2</t>
  </si>
  <si>
    <t>Group F.1</t>
  </si>
  <si>
    <t xml:space="preserve">Paul Casey </t>
  </si>
  <si>
    <t xml:space="preserve">Fred Couples </t>
  </si>
  <si>
    <t xml:space="preserve">Ben Crenshaw </t>
  </si>
  <si>
    <t xml:space="preserve">Luke Donald </t>
  </si>
  <si>
    <t xml:space="preserve">Ernie Els </t>
  </si>
  <si>
    <t xml:space="preserve">Sergio Garcia </t>
  </si>
  <si>
    <t xml:space="preserve">Todd Hamilton </t>
  </si>
  <si>
    <t xml:space="preserve">Padraig Harrington </t>
  </si>
  <si>
    <t xml:space="preserve">Shingo Katayama </t>
  </si>
  <si>
    <t xml:space="preserve">Bernhard Langer </t>
  </si>
  <si>
    <t xml:space="preserve">Sandy Lyle </t>
  </si>
  <si>
    <t xml:space="preserve">Geoff Ogilvy </t>
  </si>
  <si>
    <t xml:space="preserve">Ian Poulter </t>
  </si>
  <si>
    <t xml:space="preserve">Craig Stadler </t>
  </si>
  <si>
    <t xml:space="preserve">Henrik Stenson </t>
  </si>
  <si>
    <t xml:space="preserve">Steve Stricker </t>
  </si>
  <si>
    <t xml:space="preserve">Lee Westwood </t>
  </si>
  <si>
    <t xml:space="preserve">Tiger Woods </t>
  </si>
  <si>
    <t xml:space="preserve">Ian Woosnam </t>
  </si>
  <si>
    <t xml:space="preserve">Robert Karlsson </t>
  </si>
  <si>
    <t>E-Mail</t>
  </si>
  <si>
    <t>Who collects?</t>
  </si>
  <si>
    <t>Jason Dario</t>
  </si>
  <si>
    <t>Camilo Villegas</t>
  </si>
  <si>
    <t>Tom Perrault</t>
  </si>
  <si>
    <t>John Rollins</t>
  </si>
  <si>
    <t>Craig Johnson</t>
  </si>
  <si>
    <t>Ryan Wensmann</t>
  </si>
  <si>
    <t>Jacob Fick</t>
  </si>
  <si>
    <t>Lucas Kanavati</t>
  </si>
  <si>
    <t>Tom.Buslee@traditionllc.com</t>
  </si>
  <si>
    <t>Mel Dario</t>
  </si>
  <si>
    <t>Tom Nast</t>
  </si>
  <si>
    <t>Tnast@traditionllc.com</t>
  </si>
  <si>
    <t>D</t>
  </si>
  <si>
    <t>A</t>
  </si>
  <si>
    <t>E</t>
  </si>
  <si>
    <t>B</t>
  </si>
  <si>
    <t>C</t>
  </si>
  <si>
    <t>F</t>
  </si>
  <si>
    <t>Jon Hankes</t>
  </si>
  <si>
    <t>jonhankes@hotmail.com</t>
  </si>
  <si>
    <t>Group</t>
  </si>
  <si>
    <t>Participant</t>
  </si>
  <si>
    <t>Hunter Mahan</t>
  </si>
  <si>
    <t>Steve Flesch</t>
  </si>
  <si>
    <t>Soren Hansen</t>
  </si>
  <si>
    <t>Martin Kaymer</t>
  </si>
  <si>
    <t>Nick Watney</t>
  </si>
  <si>
    <t>Sean O'Hair</t>
  </si>
  <si>
    <t>John Senden</t>
  </si>
  <si>
    <t>Heath Slocum</t>
  </si>
  <si>
    <t>Tom Williams</t>
  </si>
  <si>
    <t>Williams.ts@Comcast.net</t>
  </si>
  <si>
    <t>Peter Rathmanner</t>
  </si>
  <si>
    <t>Perrault@aol.com</t>
  </si>
  <si>
    <t>Mark Tollefsbol</t>
  </si>
  <si>
    <t>MelDario1@yahoo.com</t>
  </si>
  <si>
    <t>Terry Wensmann 2</t>
  </si>
  <si>
    <t>jacob.fick@traditionllc.com</t>
  </si>
  <si>
    <t>Jesse Unklesbay</t>
  </si>
  <si>
    <t>craig.johnson@lfg.com</t>
  </si>
  <si>
    <t>Craig Mulcahy</t>
  </si>
  <si>
    <t>cmulcahy@mucr.com</t>
  </si>
  <si>
    <t>Steve Stanley</t>
  </si>
  <si>
    <t>Sstanley@mucr.com</t>
  </si>
  <si>
    <t>10-1</t>
  </si>
  <si>
    <t>20-1</t>
  </si>
  <si>
    <t>60-1</t>
  </si>
  <si>
    <t>100-1</t>
  </si>
  <si>
    <t>80-1</t>
  </si>
  <si>
    <t>50-1</t>
  </si>
  <si>
    <t>40-1</t>
  </si>
  <si>
    <t>Phil Mickelson</t>
  </si>
  <si>
    <t>Padraig Harrington</t>
  </si>
  <si>
    <t>Adam Scott</t>
  </si>
  <si>
    <t>Robert Karlsson</t>
  </si>
  <si>
    <t>Rory Sabbatini</t>
  </si>
  <si>
    <t>Ben Crane</t>
  </si>
  <si>
    <t>Michael Campbell</t>
  </si>
  <si>
    <t>Ben Curtis</t>
  </si>
  <si>
    <t>Chang-Won Han</t>
  </si>
  <si>
    <t>Group F.2</t>
  </si>
  <si>
    <t>Group F.12$</t>
  </si>
  <si>
    <t>Ben Martin</t>
  </si>
  <si>
    <t>Reteif Goosen</t>
  </si>
  <si>
    <t>Jim Furyk</t>
  </si>
  <si>
    <t>Vijay Singh</t>
  </si>
  <si>
    <t>Stuart Cink</t>
  </si>
  <si>
    <t>9-1</t>
  </si>
  <si>
    <t>30-1</t>
  </si>
  <si>
    <t>Lucas Glover</t>
  </si>
  <si>
    <t>Anthony Kim</t>
  </si>
  <si>
    <t>Ross Fisher</t>
  </si>
  <si>
    <t>Zach Johnson</t>
  </si>
  <si>
    <t>Angel Cabrera</t>
  </si>
  <si>
    <t>Dustin Johnson</t>
  </si>
  <si>
    <t>Robert Allenby</t>
  </si>
  <si>
    <t>Trevor Immelman</t>
  </si>
  <si>
    <t>Rory Mcilroy</t>
  </si>
  <si>
    <t>Steve O'Hara</t>
  </si>
  <si>
    <t>Sohara@AOL.Com</t>
  </si>
  <si>
    <t>Ernie Els</t>
  </si>
  <si>
    <t>Steve Stricker</t>
  </si>
  <si>
    <t>Paul Casey</t>
  </si>
  <si>
    <t>Graeme McDowell</t>
  </si>
  <si>
    <t>Fred Couples</t>
  </si>
  <si>
    <t>Ryo Ishikawa</t>
  </si>
  <si>
    <t>Jose Maria Olazabal</t>
  </si>
  <si>
    <t>Nathan Smith</t>
  </si>
  <si>
    <t>Tony Flint</t>
  </si>
  <si>
    <t>tlaflint@comcast.net</t>
  </si>
  <si>
    <t>Tiger Woods</t>
  </si>
  <si>
    <t>Justin Leonard</t>
  </si>
  <si>
    <t>Y. E. Yang</t>
  </si>
  <si>
    <t>Ryan Palmer</t>
  </si>
  <si>
    <t>David Duval</t>
  </si>
  <si>
    <t>Byeong-Hun An</t>
  </si>
  <si>
    <t>Matteo Manassero</t>
  </si>
  <si>
    <t>Lee Westwood</t>
  </si>
  <si>
    <t>Ricky Barnes</t>
  </si>
  <si>
    <t>Mike Weir</t>
  </si>
  <si>
    <t>Tim Clark</t>
  </si>
  <si>
    <t>Chad Campbell</t>
  </si>
  <si>
    <t>Kenny Perry</t>
  </si>
  <si>
    <t>Matt Kuchar</t>
  </si>
  <si>
    <t>Jerry Kelly</t>
  </si>
  <si>
    <t>David Toms</t>
  </si>
  <si>
    <t>Miguel Jimenez</t>
  </si>
  <si>
    <t>Scott Verplank</t>
  </si>
  <si>
    <t>Ryan Moore</t>
  </si>
  <si>
    <t>John Merrick</t>
  </si>
  <si>
    <t>Jason Dufner</t>
  </si>
  <si>
    <t>Brian Gay</t>
  </si>
  <si>
    <t>Francesco Molinari</t>
  </si>
  <si>
    <t>Eduardo Molinari</t>
  </si>
  <si>
    <t>Anders Hanson</t>
  </si>
  <si>
    <t>Soren Kjeldsen</t>
  </si>
  <si>
    <t>Chris Wood</t>
  </si>
  <si>
    <t>Oliver Wilson</t>
  </si>
  <si>
    <t>Yuta Ikeda</t>
  </si>
  <si>
    <t>Kevin Na</t>
  </si>
  <si>
    <t>Bill Haas</t>
  </si>
  <si>
    <t>Nathan Green</t>
  </si>
  <si>
    <t>Steve Marino</t>
  </si>
  <si>
    <t>Michael Sim</t>
  </si>
  <si>
    <t>Simon Dyson</t>
  </si>
  <si>
    <t>Marc Leishman</t>
  </si>
  <si>
    <t>Ray Floyd</t>
  </si>
  <si>
    <t>Tom Watson</t>
  </si>
  <si>
    <t>Larry Mize</t>
  </si>
  <si>
    <t>Mark O'Meara</t>
  </si>
  <si>
    <t>Brad Benjamin</t>
  </si>
  <si>
    <t>Vegas odds to win Masters</t>
  </si>
  <si>
    <t>Player</t>
  </si>
  <si>
    <t>Number selected</t>
  </si>
  <si>
    <t>200-1</t>
  </si>
  <si>
    <t>120-1</t>
  </si>
  <si>
    <t>90-1</t>
  </si>
  <si>
    <t>110-1</t>
  </si>
  <si>
    <t>140-1</t>
  </si>
  <si>
    <t>130-1</t>
  </si>
  <si>
    <t>160-1</t>
  </si>
  <si>
    <t>150-1</t>
  </si>
  <si>
    <t>70-1</t>
  </si>
  <si>
    <t>22-1</t>
  </si>
  <si>
    <t>23-1</t>
  </si>
  <si>
    <t>18-1</t>
  </si>
  <si>
    <t>14-1</t>
  </si>
  <si>
    <t>5-1</t>
  </si>
  <si>
    <t>35-1</t>
  </si>
  <si>
    <t>28-1</t>
  </si>
  <si>
    <t>26-1</t>
  </si>
  <si>
    <t>38-1</t>
  </si>
  <si>
    <t>44-1</t>
  </si>
  <si>
    <t>46-1</t>
  </si>
  <si>
    <t>41-1</t>
  </si>
  <si>
    <t>48-1</t>
  </si>
  <si>
    <t>55-1</t>
  </si>
  <si>
    <t>85-1</t>
  </si>
  <si>
    <t>95-1</t>
  </si>
  <si>
    <t>98-1</t>
  </si>
  <si>
    <t>92-1</t>
  </si>
  <si>
    <t>Luke Donald</t>
  </si>
  <si>
    <t>Bernhard Langer</t>
  </si>
  <si>
    <t>Larry Willson</t>
  </si>
  <si>
    <t>Larry@norfas.com</t>
  </si>
  <si>
    <t>Lance Brock</t>
  </si>
  <si>
    <t>Lbrock@mucr.com</t>
  </si>
  <si>
    <t>Mark@pulseproducts.com</t>
  </si>
  <si>
    <t>Rory McIlroy</t>
  </si>
  <si>
    <t>rich_eklund@symantec.com</t>
  </si>
  <si>
    <t>Rich Eklund</t>
  </si>
  <si>
    <t>Ian Poulter</t>
  </si>
  <si>
    <t>Eric Lien (TJ)</t>
  </si>
  <si>
    <t>Eric Lien (JR)</t>
  </si>
  <si>
    <t>Eric Lien (JB)</t>
  </si>
  <si>
    <t>Eric Lien (AP)</t>
  </si>
  <si>
    <t>Eric Lien (PM)</t>
  </si>
  <si>
    <t>Eric Lien (EL)</t>
  </si>
  <si>
    <t>Eric.Lien@genmills.com</t>
  </si>
  <si>
    <t>Henrik Stenson</t>
  </si>
  <si>
    <t>Ian Woosnam</t>
  </si>
  <si>
    <t>Geoff Ogilvy</t>
  </si>
  <si>
    <t>Jason Godbout</t>
  </si>
  <si>
    <t>Ken Godbout</t>
  </si>
  <si>
    <t>Jason@norfas.com</t>
  </si>
  <si>
    <t>Ken@norfas.com</t>
  </si>
  <si>
    <t>Cory Schmidt 1</t>
  </si>
  <si>
    <t>Corey320@hotmail.com</t>
  </si>
  <si>
    <t>Cory Schmidt 2</t>
  </si>
  <si>
    <t>Andy Persby</t>
  </si>
  <si>
    <t>Persby@gmail.com; Tgiefer@recocompany.com</t>
  </si>
  <si>
    <t>Craig Stadler</t>
  </si>
  <si>
    <t>Russ Higgins 1</t>
  </si>
  <si>
    <t>Russ@2ndswing.com</t>
  </si>
  <si>
    <t>Russ Higgins 2</t>
  </si>
  <si>
    <t>Riley Kieffer</t>
  </si>
  <si>
    <t>Riley.Kieffer@traditiondevelopment.com</t>
  </si>
  <si>
    <t>Brend Godbout</t>
  </si>
  <si>
    <t>brentgodbout@gmail.com</t>
  </si>
  <si>
    <t>Karen Valento 1</t>
  </si>
  <si>
    <t>Karen Valento 2</t>
  </si>
  <si>
    <t>Klvalento@gmail.com</t>
  </si>
  <si>
    <t>David Valento</t>
  </si>
  <si>
    <t>Sandy Lyle</t>
  </si>
  <si>
    <t>Pete.Rathmanner@traditionllc.com</t>
  </si>
  <si>
    <t>tim.smith@anytimefitness.com</t>
  </si>
  <si>
    <t>Tim Smith</t>
  </si>
  <si>
    <t>Deb Kuehn</t>
  </si>
  <si>
    <t>Chieflit@aol.com</t>
  </si>
  <si>
    <t>simon@2ndswing.com</t>
  </si>
  <si>
    <t>Simon Kallal</t>
  </si>
  <si>
    <t>Sergio Garcia</t>
  </si>
  <si>
    <t>David Valento 1</t>
  </si>
  <si>
    <t>David Valento 2</t>
  </si>
  <si>
    <t>Mira Young 1</t>
  </si>
  <si>
    <t>Mira Young 2</t>
  </si>
  <si>
    <t>David_Valento@dell.com</t>
  </si>
  <si>
    <t>Michael Marston 1</t>
  </si>
  <si>
    <t>Michael Marston 2</t>
  </si>
  <si>
    <t>buckshawholdings@gmail.com</t>
  </si>
  <si>
    <t>Michael Kraemer 1</t>
  </si>
  <si>
    <t>Michael Kraemer 2</t>
  </si>
  <si>
    <t>mkraemer@fieldsolutions.com</t>
  </si>
  <si>
    <t>Michael Kraemer 3</t>
  </si>
  <si>
    <t>Michael Kraemer 4</t>
  </si>
  <si>
    <t>Troy Miller 1</t>
  </si>
  <si>
    <t>Troy Miller 2</t>
  </si>
  <si>
    <t>TMiller@isd622.org</t>
  </si>
  <si>
    <t>Ben Crenshaw</t>
  </si>
  <si>
    <t>Brooks Erdall 1</t>
  </si>
  <si>
    <t>Brooks Erdall 2</t>
  </si>
  <si>
    <t>Brooks Erdall 3</t>
  </si>
  <si>
    <t>Brooks.Erdall@gmail.com</t>
  </si>
  <si>
    <t>Tim Deming</t>
  </si>
  <si>
    <t>Deming.Tim@gmail.com</t>
  </si>
  <si>
    <t>stickjohnson@bellsouth.net</t>
  </si>
  <si>
    <t>Shingo Katayama</t>
  </si>
  <si>
    <t>Jason Dario 1</t>
  </si>
  <si>
    <t>Jason Dario 2</t>
  </si>
  <si>
    <t>jasond@traditionllc.com</t>
  </si>
  <si>
    <t>Todd Hamilton</t>
  </si>
  <si>
    <t>BradAdams@edinarealty.com</t>
  </si>
  <si>
    <t>Brad Adams</t>
  </si>
  <si>
    <t>John Rock</t>
  </si>
  <si>
    <t>John.Rock@traditionllc.com</t>
  </si>
  <si>
    <t>Scott Meyers</t>
  </si>
  <si>
    <t>Scott.Meyers@goodinco.com</t>
  </si>
  <si>
    <t>Dale Schwartz</t>
  </si>
  <si>
    <t>Skip@Fariboplumbing.com</t>
  </si>
  <si>
    <t>Keith Pumper</t>
  </si>
  <si>
    <t>KNPumper@charter.net</t>
  </si>
  <si>
    <t>Tom Buslee 1</t>
  </si>
  <si>
    <t>Tom Buslee 2</t>
  </si>
  <si>
    <t>Fracesco Molinari</t>
  </si>
  <si>
    <t>junklesbay@micmtg.com</t>
  </si>
  <si>
    <t>Jake Enebak</t>
  </si>
  <si>
    <t>Jake.enebak@traditiondevelopment.com</t>
  </si>
  <si>
    <t>Lucas.kanavati@traditionllc.com</t>
  </si>
  <si>
    <t>Stephen Johnson 1</t>
  </si>
  <si>
    <t>Stephen Johnson 2</t>
  </si>
  <si>
    <t>peterkraker@netscape.net</t>
  </si>
  <si>
    <t>Peter Kraker</t>
  </si>
  <si>
    <t>Paul Lindstrom</t>
  </si>
  <si>
    <t>Pslindstrom@comcast.net</t>
  </si>
  <si>
    <t>Chay.Thirakoun@courts.state.mn.us</t>
  </si>
  <si>
    <t xml:space="preserve">Jai Thirakoun </t>
  </si>
  <si>
    <t>Jim Alberts 1</t>
  </si>
  <si>
    <t>Jim Alberts 2</t>
  </si>
  <si>
    <t>Jim Alberts 3</t>
  </si>
  <si>
    <t>Brad Evanson</t>
  </si>
  <si>
    <t>Jim@AJAlberts.net</t>
  </si>
  <si>
    <t>Keith Hopkins</t>
  </si>
  <si>
    <t>KTHHopkins@yahoo.com</t>
  </si>
  <si>
    <t>Terry Wensmann 1</t>
  </si>
  <si>
    <t>Wens0021@umn.edu</t>
  </si>
  <si>
    <t>190-1</t>
  </si>
  <si>
    <t>24-1</t>
  </si>
  <si>
    <t>#</t>
  </si>
  <si>
    <t>$</t>
  </si>
  <si>
    <t>twensmann@wres-llc.com</t>
  </si>
  <si>
    <t>Dkuehnrutzicklaw@comcast.net</t>
  </si>
  <si>
    <t>Adam Rutzick</t>
  </si>
  <si>
    <t>Benny Rutzick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</si>
</sst>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trike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9" borderId="4" xfId="0" applyFont="1" applyFill="1" applyBorder="1" applyAlignment="1">
      <alignment vertical="top" wrapText="1"/>
    </xf>
    <xf numFmtId="0" fontId="5" fillId="9" borderId="5" xfId="0" applyFont="1" applyFill="1" applyBorder="1" applyAlignment="1">
      <alignment vertical="top" wrapText="1"/>
    </xf>
    <xf numFmtId="0" fontId="5" fillId="9" borderId="6" xfId="0" applyFont="1" applyFill="1" applyBorder="1" applyAlignment="1">
      <alignment vertical="top" wrapText="1"/>
    </xf>
    <xf numFmtId="0" fontId="5" fillId="10" borderId="7" xfId="0" applyFont="1" applyFill="1" applyBorder="1" applyAlignment="1">
      <alignment vertical="top" wrapText="1"/>
    </xf>
    <xf numFmtId="0" fontId="5" fillId="10" borderId="5" xfId="0" applyFont="1" applyFill="1" applyBorder="1" applyAlignment="1">
      <alignment vertical="top" wrapText="1"/>
    </xf>
    <xf numFmtId="0" fontId="5" fillId="10" borderId="6" xfId="0" applyFont="1" applyFill="1" applyBorder="1" applyAlignment="1">
      <alignment vertical="top" wrapText="1"/>
    </xf>
    <xf numFmtId="0" fontId="5" fillId="9" borderId="7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9" borderId="8" xfId="0" applyFont="1" applyFill="1" applyBorder="1" applyAlignment="1">
      <alignment horizontal="center"/>
    </xf>
    <xf numFmtId="49" fontId="6" fillId="9" borderId="9" xfId="0" applyNumberFormat="1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49" fontId="6" fillId="9" borderId="11" xfId="0" applyNumberFormat="1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49" fontId="6" fillId="9" borderId="13" xfId="0" applyNumberFormat="1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49" fontId="6" fillId="10" borderId="15" xfId="0" applyNumberFormat="1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49" fontId="6" fillId="10" borderId="11" xfId="0" applyNumberFormat="1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49" fontId="6" fillId="10" borderId="13" xfId="0" applyNumberFormat="1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9" fontId="6" fillId="9" borderId="15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4" fontId="4" fillId="2" borderId="0" xfId="1" applyFont="1" applyFill="1" applyBorder="1" applyAlignment="1">
      <alignment horizontal="left"/>
    </xf>
    <xf numFmtId="0" fontId="3" fillId="3" borderId="21" xfId="0" applyFont="1" applyFill="1" applyBorder="1" applyAlignment="1">
      <alignment horizontal="center" vertical="center"/>
    </xf>
    <xf numFmtId="44" fontId="3" fillId="3" borderId="22" xfId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left"/>
    </xf>
    <xf numFmtId="44" fontId="4" fillId="4" borderId="31" xfId="0" applyNumberFormat="1" applyFont="1" applyFill="1" applyBorder="1" applyAlignment="1">
      <alignment horizontal="left"/>
    </xf>
    <xf numFmtId="44" fontId="4" fillId="4" borderId="19" xfId="0" applyNumberFormat="1" applyFont="1" applyFill="1" applyBorder="1" applyAlignment="1">
      <alignment horizontal="left"/>
    </xf>
    <xf numFmtId="44" fontId="4" fillId="4" borderId="34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4" fontId="4" fillId="5" borderId="15" xfId="1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4" fontId="4" fillId="5" borderId="11" xfId="1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44" fontId="4" fillId="5" borderId="13" xfId="1" applyFont="1" applyFill="1" applyBorder="1" applyAlignment="1">
      <alignment horizontal="left"/>
    </xf>
    <xf numFmtId="44" fontId="4" fillId="5" borderId="35" xfId="1" applyFont="1" applyFill="1" applyBorder="1" applyAlignment="1">
      <alignment horizontal="left"/>
    </xf>
    <xf numFmtId="44" fontId="4" fillId="5" borderId="36" xfId="1" applyFont="1" applyFill="1" applyBorder="1" applyAlignment="1">
      <alignment horizontal="left"/>
    </xf>
    <xf numFmtId="44" fontId="4" fillId="5" borderId="37" xfId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44" fontId="3" fillId="3" borderId="15" xfId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/>
    </xf>
    <xf numFmtId="44" fontId="4" fillId="6" borderId="11" xfId="1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44" fontId="4" fillId="6" borderId="13" xfId="1" applyFont="1" applyFill="1" applyBorder="1" applyAlignment="1">
      <alignment horizontal="left"/>
    </xf>
    <xf numFmtId="0" fontId="3" fillId="3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left"/>
    </xf>
    <xf numFmtId="0" fontId="8" fillId="6" borderId="39" xfId="0" applyFont="1" applyFill="1" applyBorder="1" applyAlignment="1">
      <alignment horizontal="left"/>
    </xf>
    <xf numFmtId="0" fontId="8" fillId="6" borderId="40" xfId="0" applyFont="1" applyFill="1" applyBorder="1" applyAlignment="1">
      <alignment horizontal="left"/>
    </xf>
    <xf numFmtId="44" fontId="4" fillId="7" borderId="11" xfId="1" applyFont="1" applyFill="1" applyBorder="1" applyAlignment="1">
      <alignment horizontal="left"/>
    </xf>
    <xf numFmtId="44" fontId="4" fillId="7" borderId="13" xfId="1" applyFont="1" applyFill="1" applyBorder="1" applyAlignment="1">
      <alignment horizontal="left"/>
    </xf>
    <xf numFmtId="0" fontId="8" fillId="7" borderId="39" xfId="0" applyFont="1" applyFill="1" applyBorder="1" applyAlignment="1">
      <alignment horizontal="left"/>
    </xf>
    <xf numFmtId="0" fontId="2" fillId="7" borderId="39" xfId="0" applyFont="1" applyFill="1" applyBorder="1" applyAlignment="1">
      <alignment horizontal="left"/>
    </xf>
    <xf numFmtId="0" fontId="8" fillId="7" borderId="40" xfId="0" applyFont="1" applyFill="1" applyBorder="1" applyAlignment="1">
      <alignment horizontal="left"/>
    </xf>
    <xf numFmtId="44" fontId="3" fillId="3" borderId="35" xfId="1" applyFont="1" applyFill="1" applyBorder="1" applyAlignment="1">
      <alignment horizontal="center" vertical="center"/>
    </xf>
    <xf numFmtId="44" fontId="4" fillId="6" borderId="36" xfId="1" applyFont="1" applyFill="1" applyBorder="1" applyAlignment="1">
      <alignment horizontal="left"/>
    </xf>
    <xf numFmtId="44" fontId="4" fillId="6" borderId="37" xfId="1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5" borderId="38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left"/>
    </xf>
    <xf numFmtId="0" fontId="8" fillId="5" borderId="3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5" borderId="4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  <pageSetUpPr fitToPage="1"/>
  </sheetPr>
  <dimension ref="A1:AD80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G30" sqref="G30"/>
    </sheetView>
  </sheetViews>
  <sheetFormatPr defaultColWidth="9.125" defaultRowHeight="10.9" x14ac:dyDescent="0.2"/>
  <cols>
    <col min="1" max="1" width="2.625" style="31" bestFit="1" customWidth="1"/>
    <col min="2" max="2" width="16.375" style="35" bestFit="1" customWidth="1"/>
    <col min="3" max="3" width="35" style="35" hidden="1" customWidth="1"/>
    <col min="4" max="4" width="12" style="35" hidden="1" customWidth="1"/>
    <col min="5" max="5" width="12" style="31" bestFit="1" customWidth="1"/>
    <col min="6" max="6" width="11.5" style="31" bestFit="1" customWidth="1"/>
    <col min="7" max="7" width="12" style="36" bestFit="1" customWidth="1"/>
    <col min="8" max="8" width="13.875" style="31" bestFit="1" customWidth="1"/>
    <col min="9" max="9" width="11.125" style="36" bestFit="1" customWidth="1"/>
    <col min="10" max="10" width="11.5" style="31" bestFit="1" customWidth="1"/>
    <col min="11" max="11" width="11" style="36" bestFit="1" customWidth="1"/>
    <col min="12" max="12" width="12.5" style="31" bestFit="1" customWidth="1"/>
    <col min="13" max="13" width="11" style="36" bestFit="1" customWidth="1"/>
    <col min="14" max="14" width="13.625" style="31" bestFit="1" customWidth="1"/>
    <col min="15" max="15" width="11.125" style="36" bestFit="1" customWidth="1"/>
    <col min="16" max="16" width="13.625" style="31" bestFit="1" customWidth="1"/>
    <col min="17" max="17" width="11.125" style="36" bestFit="1" customWidth="1"/>
    <col min="18" max="18" width="14.125" style="31" bestFit="1" customWidth="1"/>
    <col min="19" max="19" width="11" style="36" bestFit="1" customWidth="1"/>
    <col min="20" max="20" width="13.375" style="31" bestFit="1" customWidth="1"/>
    <col min="21" max="21" width="11" style="36" bestFit="1" customWidth="1"/>
    <col min="22" max="22" width="15" style="31" bestFit="1" customWidth="1"/>
    <col min="23" max="23" width="10.875" style="36" bestFit="1" customWidth="1"/>
    <col min="24" max="24" width="15" style="31" bestFit="1" customWidth="1"/>
    <col min="25" max="25" width="10.875" style="36" bestFit="1" customWidth="1"/>
    <col min="26" max="26" width="12.375" style="31" bestFit="1" customWidth="1"/>
    <col min="27" max="27" width="10.875" style="36" bestFit="1" customWidth="1"/>
    <col min="28" max="28" width="13.875" style="31" bestFit="1" customWidth="1"/>
    <col min="29" max="29" width="11.375" style="36" bestFit="1" customWidth="1"/>
    <col min="30" max="30" width="1.875" style="31" bestFit="1" customWidth="1"/>
    <col min="31" max="16384" width="9.125" style="31"/>
  </cols>
  <sheetData>
    <row r="1" spans="1:30" s="40" customFormat="1" ht="22.6" customHeight="1" thickBot="1" x14ac:dyDescent="0.25">
      <c r="A1" s="47" t="s">
        <v>321</v>
      </c>
      <c r="B1" s="48" t="s">
        <v>65</v>
      </c>
      <c r="C1" s="47" t="s">
        <v>42</v>
      </c>
      <c r="D1" s="49" t="s">
        <v>43</v>
      </c>
      <c r="E1" s="47" t="s">
        <v>322</v>
      </c>
      <c r="F1" s="37" t="s">
        <v>1</v>
      </c>
      <c r="G1" s="38" t="s">
        <v>0</v>
      </c>
      <c r="H1" s="39" t="s">
        <v>2</v>
      </c>
      <c r="I1" s="38" t="s">
        <v>3</v>
      </c>
      <c r="J1" s="67" t="s">
        <v>15</v>
      </c>
      <c r="K1" s="83" t="s">
        <v>4</v>
      </c>
      <c r="L1" s="67" t="s">
        <v>14</v>
      </c>
      <c r="M1" s="83" t="s">
        <v>5</v>
      </c>
      <c r="N1" s="67" t="s">
        <v>13</v>
      </c>
      <c r="O1" s="68" t="s">
        <v>6</v>
      </c>
      <c r="P1" s="37" t="s">
        <v>12</v>
      </c>
      <c r="Q1" s="38" t="s">
        <v>7</v>
      </c>
      <c r="R1" s="67" t="s">
        <v>9</v>
      </c>
      <c r="S1" s="83" t="s">
        <v>11</v>
      </c>
      <c r="T1" s="67" t="s">
        <v>8</v>
      </c>
      <c r="U1" s="68" t="s">
        <v>10</v>
      </c>
      <c r="V1" s="74" t="s">
        <v>16</v>
      </c>
      <c r="W1" s="68" t="s">
        <v>17</v>
      </c>
      <c r="X1" s="74" t="s">
        <v>20</v>
      </c>
      <c r="Y1" s="68" t="s">
        <v>18</v>
      </c>
      <c r="Z1" s="74" t="s">
        <v>21</v>
      </c>
      <c r="AA1" s="68" t="s">
        <v>19</v>
      </c>
      <c r="AB1" s="74" t="s">
        <v>104</v>
      </c>
      <c r="AC1" s="68" t="s">
        <v>105</v>
      </c>
    </row>
    <row r="2" spans="1:30" x14ac:dyDescent="0.2">
      <c r="A2" s="50">
        <v>1</v>
      </c>
      <c r="B2" s="41" t="s">
        <v>325</v>
      </c>
      <c r="C2" s="51" t="s">
        <v>252</v>
      </c>
      <c r="D2" s="30" t="s">
        <v>44</v>
      </c>
      <c r="E2" s="54">
        <f t="shared" ref="E2:E33" si="0">SUM(G2)+I2+K2+M2+O2+Q2+S2+U2+W2+Y2+AA2+AC2</f>
        <v>3029250</v>
      </c>
      <c r="F2" s="57" t="s">
        <v>95</v>
      </c>
      <c r="G2" s="64">
        <v>1350000</v>
      </c>
      <c r="H2" s="57" t="s">
        <v>141</v>
      </c>
      <c r="I2" s="64">
        <v>810000</v>
      </c>
      <c r="J2" s="69" t="s">
        <v>114</v>
      </c>
      <c r="K2" s="84">
        <v>510000</v>
      </c>
      <c r="L2" s="69" t="s">
        <v>45</v>
      </c>
      <c r="M2" s="84">
        <v>34500</v>
      </c>
      <c r="N2" s="59" t="s">
        <v>136</v>
      </c>
      <c r="O2" s="60">
        <v>225000</v>
      </c>
      <c r="P2" s="87" t="s">
        <v>145</v>
      </c>
      <c r="Q2" s="58">
        <v>24750</v>
      </c>
      <c r="R2" s="76" t="s">
        <v>129</v>
      </c>
      <c r="S2" s="84"/>
      <c r="T2" s="71" t="s">
        <v>161</v>
      </c>
      <c r="U2" s="70"/>
      <c r="V2" s="80" t="s">
        <v>173</v>
      </c>
      <c r="W2" s="78"/>
      <c r="X2" s="80" t="s">
        <v>130</v>
      </c>
      <c r="Y2" s="78"/>
      <c r="Z2" s="76" t="s">
        <v>131</v>
      </c>
      <c r="AA2" s="70"/>
      <c r="AB2" s="75" t="s">
        <v>140</v>
      </c>
      <c r="AC2" s="70">
        <v>75000</v>
      </c>
    </row>
    <row r="3" spans="1:30" x14ac:dyDescent="0.2">
      <c r="A3" s="45">
        <v>2</v>
      </c>
      <c r="B3" s="42" t="s">
        <v>243</v>
      </c>
      <c r="C3" s="29" t="s">
        <v>245</v>
      </c>
      <c r="D3" s="32" t="s">
        <v>246</v>
      </c>
      <c r="E3" s="55">
        <f t="shared" si="0"/>
        <v>2472000</v>
      </c>
      <c r="F3" s="59" t="s">
        <v>95</v>
      </c>
      <c r="G3" s="65">
        <v>1350000</v>
      </c>
      <c r="H3" s="59" t="s">
        <v>134</v>
      </c>
      <c r="I3" s="65">
        <v>330000</v>
      </c>
      <c r="J3" s="69" t="s">
        <v>114</v>
      </c>
      <c r="K3" s="84">
        <v>510000</v>
      </c>
      <c r="L3" s="71" t="s">
        <v>212</v>
      </c>
      <c r="M3" s="84"/>
      <c r="N3" s="61" t="s">
        <v>144</v>
      </c>
      <c r="O3" s="60"/>
      <c r="P3" s="88" t="s">
        <v>145</v>
      </c>
      <c r="Q3" s="60">
        <v>24750</v>
      </c>
      <c r="R3" s="75" t="s">
        <v>162</v>
      </c>
      <c r="S3" s="84">
        <v>53250</v>
      </c>
      <c r="T3" s="69" t="s">
        <v>67</v>
      </c>
      <c r="U3" s="70">
        <v>34500</v>
      </c>
      <c r="V3" s="80" t="s">
        <v>206</v>
      </c>
      <c r="W3" s="78"/>
      <c r="X3" s="81" t="s">
        <v>171</v>
      </c>
      <c r="Y3" s="78">
        <v>94500</v>
      </c>
      <c r="Z3" s="76" t="s">
        <v>139</v>
      </c>
      <c r="AA3" s="70"/>
      <c r="AB3" s="75" t="s">
        <v>140</v>
      </c>
      <c r="AC3" s="70">
        <v>75000</v>
      </c>
    </row>
    <row r="4" spans="1:30" x14ac:dyDescent="0.2">
      <c r="A4" s="45">
        <v>3</v>
      </c>
      <c r="B4" s="42" t="s">
        <v>261</v>
      </c>
      <c r="C4" s="29" t="s">
        <v>263</v>
      </c>
      <c r="D4" s="33" t="s">
        <v>44</v>
      </c>
      <c r="E4" s="55">
        <f t="shared" si="0"/>
        <v>2399063</v>
      </c>
      <c r="F4" s="59" t="s">
        <v>95</v>
      </c>
      <c r="G4" s="65">
        <v>1350000</v>
      </c>
      <c r="H4" s="59" t="s">
        <v>141</v>
      </c>
      <c r="I4" s="65">
        <v>810000</v>
      </c>
      <c r="J4" s="69" t="s">
        <v>116</v>
      </c>
      <c r="K4" s="84">
        <v>30750</v>
      </c>
      <c r="L4" s="69" t="s">
        <v>71</v>
      </c>
      <c r="M4" s="84">
        <v>45563</v>
      </c>
      <c r="N4" s="61" t="s">
        <v>144</v>
      </c>
      <c r="O4" s="60"/>
      <c r="P4" s="89" t="s">
        <v>280</v>
      </c>
      <c r="Q4" s="60"/>
      <c r="R4" s="75" t="s">
        <v>162</v>
      </c>
      <c r="S4" s="84">
        <v>53250</v>
      </c>
      <c r="T4" s="69" t="s">
        <v>67</v>
      </c>
      <c r="U4" s="70">
        <v>34500</v>
      </c>
      <c r="V4" s="80" t="s">
        <v>138</v>
      </c>
      <c r="W4" s="78"/>
      <c r="X4" s="80" t="s">
        <v>102</v>
      </c>
      <c r="Y4" s="78"/>
      <c r="Z4" s="76" t="s">
        <v>139</v>
      </c>
      <c r="AA4" s="70"/>
      <c r="AB4" s="75" t="s">
        <v>140</v>
      </c>
      <c r="AC4" s="70">
        <v>75000</v>
      </c>
    </row>
    <row r="5" spans="1:30" x14ac:dyDescent="0.2">
      <c r="A5" s="45">
        <v>4</v>
      </c>
      <c r="B5" s="42" t="s">
        <v>275</v>
      </c>
      <c r="C5" s="29" t="s">
        <v>276</v>
      </c>
      <c r="D5" s="32" t="s">
        <v>44</v>
      </c>
      <c r="E5" s="55">
        <f t="shared" si="0"/>
        <v>2390250</v>
      </c>
      <c r="F5" s="59" t="s">
        <v>95</v>
      </c>
      <c r="G5" s="65">
        <v>1350000</v>
      </c>
      <c r="H5" s="59" t="s">
        <v>134</v>
      </c>
      <c r="I5" s="65">
        <v>330000</v>
      </c>
      <c r="J5" s="69" t="s">
        <v>70</v>
      </c>
      <c r="K5" s="84">
        <v>251250</v>
      </c>
      <c r="L5" s="71" t="s">
        <v>126</v>
      </c>
      <c r="M5" s="84"/>
      <c r="N5" s="61" t="s">
        <v>144</v>
      </c>
      <c r="O5" s="60"/>
      <c r="P5" s="88" t="s">
        <v>128</v>
      </c>
      <c r="Q5" s="60">
        <v>270000</v>
      </c>
      <c r="R5" s="75" t="s">
        <v>164</v>
      </c>
      <c r="S5" s="84">
        <v>57750</v>
      </c>
      <c r="T5" s="69" t="s">
        <v>166</v>
      </c>
      <c r="U5" s="70">
        <v>131250</v>
      </c>
      <c r="V5" s="80" t="s">
        <v>138</v>
      </c>
      <c r="W5" s="78"/>
      <c r="X5" s="80" t="s">
        <v>102</v>
      </c>
      <c r="Y5" s="78"/>
      <c r="Z5" s="76" t="s">
        <v>131</v>
      </c>
      <c r="AA5" s="70"/>
      <c r="AB5" s="76" t="s">
        <v>106</v>
      </c>
      <c r="AC5" s="70"/>
    </row>
    <row r="6" spans="1:30" x14ac:dyDescent="0.2">
      <c r="A6" s="45">
        <v>5</v>
      </c>
      <c r="B6" s="42" t="s">
        <v>265</v>
      </c>
      <c r="C6" s="29" t="s">
        <v>266</v>
      </c>
      <c r="D6" s="32" t="s">
        <v>44</v>
      </c>
      <c r="E6" s="55">
        <f t="shared" si="0"/>
        <v>2173500</v>
      </c>
      <c r="F6" s="59" t="s">
        <v>141</v>
      </c>
      <c r="G6" s="65">
        <v>810000</v>
      </c>
      <c r="H6" s="59" t="s">
        <v>134</v>
      </c>
      <c r="I6" s="65">
        <v>330000</v>
      </c>
      <c r="J6" s="69" t="s">
        <v>215</v>
      </c>
      <c r="K6" s="84">
        <v>195000</v>
      </c>
      <c r="L6" s="69" t="s">
        <v>114</v>
      </c>
      <c r="M6" s="84">
        <v>510000</v>
      </c>
      <c r="N6" s="59" t="s">
        <v>136</v>
      </c>
      <c r="O6" s="60">
        <v>225000</v>
      </c>
      <c r="P6" s="88" t="s">
        <v>147</v>
      </c>
      <c r="Q6" s="60">
        <v>69000</v>
      </c>
      <c r="R6" s="75" t="s">
        <v>67</v>
      </c>
      <c r="S6" s="84">
        <v>34500</v>
      </c>
      <c r="T6" s="71" t="s">
        <v>163</v>
      </c>
      <c r="U6" s="70"/>
      <c r="V6" s="80" t="s">
        <v>206</v>
      </c>
      <c r="W6" s="78"/>
      <c r="X6" s="80" t="s">
        <v>138</v>
      </c>
      <c r="Y6" s="78"/>
      <c r="Z6" s="76" t="s">
        <v>131</v>
      </c>
      <c r="AA6" s="70"/>
      <c r="AB6" s="76" t="s">
        <v>174</v>
      </c>
      <c r="AC6" s="70"/>
      <c r="AD6" s="31">
        <v>5</v>
      </c>
    </row>
    <row r="7" spans="1:30" x14ac:dyDescent="0.2">
      <c r="A7" s="45">
        <v>6</v>
      </c>
      <c r="B7" s="42" t="s">
        <v>312</v>
      </c>
      <c r="C7" s="29" t="s">
        <v>314</v>
      </c>
      <c r="D7" s="32" t="s">
        <v>44</v>
      </c>
      <c r="E7" s="55">
        <f t="shared" si="0"/>
        <v>2139000</v>
      </c>
      <c r="F7" s="59" t="s">
        <v>141</v>
      </c>
      <c r="G7" s="65">
        <v>810000</v>
      </c>
      <c r="H7" s="59" t="s">
        <v>134</v>
      </c>
      <c r="I7" s="65">
        <v>330000</v>
      </c>
      <c r="J7" s="69" t="s">
        <v>114</v>
      </c>
      <c r="K7" s="84">
        <v>510000</v>
      </c>
      <c r="L7" s="69" t="s">
        <v>45</v>
      </c>
      <c r="M7" s="84">
        <v>34500</v>
      </c>
      <c r="N7" s="59" t="s">
        <v>146</v>
      </c>
      <c r="O7" s="60">
        <v>57750</v>
      </c>
      <c r="P7" s="88" t="s">
        <v>128</v>
      </c>
      <c r="Q7" s="60">
        <v>270000</v>
      </c>
      <c r="R7" s="75" t="s">
        <v>164</v>
      </c>
      <c r="S7" s="84">
        <v>57750</v>
      </c>
      <c r="T7" s="69" t="s">
        <v>100</v>
      </c>
      <c r="U7" s="70">
        <v>69000</v>
      </c>
      <c r="V7" s="80" t="s">
        <v>138</v>
      </c>
      <c r="W7" s="78"/>
      <c r="X7" s="80" t="s">
        <v>102</v>
      </c>
      <c r="Y7" s="78"/>
      <c r="Z7" s="76" t="s">
        <v>139</v>
      </c>
      <c r="AA7" s="70"/>
      <c r="AB7" s="76" t="s">
        <v>131</v>
      </c>
      <c r="AC7" s="70"/>
    </row>
    <row r="8" spans="1:30" x14ac:dyDescent="0.2">
      <c r="A8" s="45">
        <v>7</v>
      </c>
      <c r="B8" s="42" t="s">
        <v>74</v>
      </c>
      <c r="C8" s="34" t="s">
        <v>75</v>
      </c>
      <c r="D8" s="32" t="s">
        <v>44</v>
      </c>
      <c r="E8" s="55">
        <f t="shared" si="0"/>
        <v>2118750</v>
      </c>
      <c r="F8" s="59" t="s">
        <v>95</v>
      </c>
      <c r="G8" s="65">
        <v>1350000</v>
      </c>
      <c r="H8" s="59" t="s">
        <v>134</v>
      </c>
      <c r="I8" s="65">
        <v>330000</v>
      </c>
      <c r="J8" s="71" t="s">
        <v>205</v>
      </c>
      <c r="K8" s="84"/>
      <c r="L8" s="69" t="s">
        <v>117</v>
      </c>
      <c r="M8" s="84">
        <v>94500</v>
      </c>
      <c r="N8" s="59" t="s">
        <v>136</v>
      </c>
      <c r="O8" s="60">
        <v>225000</v>
      </c>
      <c r="P8" s="88" t="s">
        <v>145</v>
      </c>
      <c r="Q8" s="60">
        <v>24750</v>
      </c>
      <c r="R8" s="75" t="s">
        <v>73</v>
      </c>
      <c r="S8" s="84">
        <v>94500</v>
      </c>
      <c r="T8" s="71" t="s">
        <v>155</v>
      </c>
      <c r="U8" s="70"/>
      <c r="V8" s="80" t="s">
        <v>206</v>
      </c>
      <c r="W8" s="78"/>
      <c r="X8" s="80" t="s">
        <v>138</v>
      </c>
      <c r="Y8" s="78"/>
      <c r="Z8" s="76" t="s">
        <v>103</v>
      </c>
      <c r="AA8" s="70"/>
      <c r="AB8" s="76" t="s">
        <v>106</v>
      </c>
      <c r="AC8" s="70"/>
    </row>
    <row r="9" spans="1:30" x14ac:dyDescent="0.2">
      <c r="A9" s="45">
        <v>8</v>
      </c>
      <c r="B9" s="42" t="s">
        <v>299</v>
      </c>
      <c r="C9" s="34" t="s">
        <v>300</v>
      </c>
      <c r="D9" s="32" t="s">
        <v>44</v>
      </c>
      <c r="E9" s="55">
        <f t="shared" si="0"/>
        <v>2109750</v>
      </c>
      <c r="F9" s="59" t="s">
        <v>95</v>
      </c>
      <c r="G9" s="65">
        <v>1350000</v>
      </c>
      <c r="H9" s="59" t="s">
        <v>134</v>
      </c>
      <c r="I9" s="65">
        <v>330000</v>
      </c>
      <c r="J9" s="71" t="s">
        <v>205</v>
      </c>
      <c r="K9" s="84"/>
      <c r="L9" s="71" t="s">
        <v>212</v>
      </c>
      <c r="M9" s="84"/>
      <c r="N9" s="59" t="s">
        <v>142</v>
      </c>
      <c r="O9" s="60">
        <v>195000</v>
      </c>
      <c r="P9" s="88" t="s">
        <v>147</v>
      </c>
      <c r="Q9" s="60">
        <v>69000</v>
      </c>
      <c r="R9" s="75" t="s">
        <v>166</v>
      </c>
      <c r="S9" s="84">
        <v>131250</v>
      </c>
      <c r="T9" s="69" t="s">
        <v>67</v>
      </c>
      <c r="U9" s="70">
        <v>34500</v>
      </c>
      <c r="V9" s="80" t="s">
        <v>130</v>
      </c>
      <c r="W9" s="78"/>
      <c r="X9" s="80" t="s">
        <v>102</v>
      </c>
      <c r="Y9" s="78"/>
      <c r="Z9" s="76" t="s">
        <v>106</v>
      </c>
      <c r="AA9" s="70"/>
      <c r="AB9" s="76" t="s">
        <v>131</v>
      </c>
      <c r="AC9" s="70"/>
    </row>
    <row r="10" spans="1:30" x14ac:dyDescent="0.2">
      <c r="A10" s="45">
        <v>9</v>
      </c>
      <c r="B10" s="42" t="s">
        <v>236</v>
      </c>
      <c r="C10" s="34" t="s">
        <v>237</v>
      </c>
      <c r="D10" s="32" t="s">
        <v>44</v>
      </c>
      <c r="E10" s="55">
        <f t="shared" si="0"/>
        <v>2026500</v>
      </c>
      <c r="F10" s="59" t="s">
        <v>95</v>
      </c>
      <c r="G10" s="65">
        <v>1350000</v>
      </c>
      <c r="H10" s="59" t="s">
        <v>134</v>
      </c>
      <c r="I10" s="65">
        <v>330000</v>
      </c>
      <c r="J10" s="69" t="s">
        <v>215</v>
      </c>
      <c r="K10" s="84">
        <v>195000</v>
      </c>
      <c r="L10" s="69" t="s">
        <v>45</v>
      </c>
      <c r="M10" s="84">
        <v>34500</v>
      </c>
      <c r="N10" s="61" t="s">
        <v>153</v>
      </c>
      <c r="O10" s="60"/>
      <c r="P10" s="88" t="s">
        <v>145</v>
      </c>
      <c r="Q10" s="60">
        <v>24750</v>
      </c>
      <c r="R10" s="75" t="s">
        <v>164</v>
      </c>
      <c r="S10" s="84">
        <v>57750</v>
      </c>
      <c r="T10" s="69" t="s">
        <v>67</v>
      </c>
      <c r="U10" s="70">
        <v>34500</v>
      </c>
      <c r="V10" s="80" t="s">
        <v>138</v>
      </c>
      <c r="W10" s="78"/>
      <c r="X10" s="80" t="s">
        <v>102</v>
      </c>
      <c r="Y10" s="78"/>
      <c r="Z10" s="76" t="s">
        <v>106</v>
      </c>
      <c r="AA10" s="70"/>
      <c r="AB10" s="76" t="s">
        <v>174</v>
      </c>
      <c r="AC10" s="70"/>
    </row>
    <row r="11" spans="1:30" x14ac:dyDescent="0.2">
      <c r="A11" s="45">
        <v>10</v>
      </c>
      <c r="B11" s="42" t="s">
        <v>267</v>
      </c>
      <c r="C11" s="34" t="s">
        <v>266</v>
      </c>
      <c r="D11" s="32" t="s">
        <v>44</v>
      </c>
      <c r="E11" s="55">
        <f t="shared" si="0"/>
        <v>2010563</v>
      </c>
      <c r="F11" s="59" t="s">
        <v>95</v>
      </c>
      <c r="G11" s="65">
        <v>1350000</v>
      </c>
      <c r="H11" s="59" t="s">
        <v>134</v>
      </c>
      <c r="I11" s="65">
        <v>330000</v>
      </c>
      <c r="J11" s="69" t="s">
        <v>71</v>
      </c>
      <c r="K11" s="84">
        <v>45563</v>
      </c>
      <c r="L11" s="69" t="s">
        <v>118</v>
      </c>
      <c r="M11" s="84">
        <v>34500</v>
      </c>
      <c r="N11" s="59" t="s">
        <v>152</v>
      </c>
      <c r="O11" s="60">
        <v>131250</v>
      </c>
      <c r="P11" s="88" t="s">
        <v>145</v>
      </c>
      <c r="Q11" s="60">
        <v>24750</v>
      </c>
      <c r="R11" s="75" t="s">
        <v>73</v>
      </c>
      <c r="S11" s="84">
        <v>94500</v>
      </c>
      <c r="T11" s="71" t="s">
        <v>163</v>
      </c>
      <c r="U11" s="70"/>
      <c r="V11" s="80" t="s">
        <v>138</v>
      </c>
      <c r="W11" s="78"/>
      <c r="X11" s="80" t="s">
        <v>102</v>
      </c>
      <c r="Y11" s="78"/>
      <c r="Z11" s="76" t="s">
        <v>139</v>
      </c>
      <c r="AA11" s="70"/>
      <c r="AB11" s="76" t="s">
        <v>131</v>
      </c>
      <c r="AC11" s="70"/>
    </row>
    <row r="12" spans="1:30" x14ac:dyDescent="0.2">
      <c r="A12" s="45">
        <v>11</v>
      </c>
      <c r="B12" s="42" t="s">
        <v>78</v>
      </c>
      <c r="C12" s="34" t="s">
        <v>211</v>
      </c>
      <c r="D12" s="32" t="s">
        <v>44</v>
      </c>
      <c r="E12" s="55">
        <f t="shared" si="0"/>
        <v>1945875</v>
      </c>
      <c r="F12" s="59" t="s">
        <v>95</v>
      </c>
      <c r="G12" s="65">
        <v>1350000</v>
      </c>
      <c r="H12" s="59" t="s">
        <v>134</v>
      </c>
      <c r="I12" s="65">
        <v>330000</v>
      </c>
      <c r="J12" s="69" t="s">
        <v>113</v>
      </c>
      <c r="K12" s="84">
        <v>38625</v>
      </c>
      <c r="L12" s="71" t="s">
        <v>212</v>
      </c>
      <c r="M12" s="84"/>
      <c r="N12" s="61" t="s">
        <v>144</v>
      </c>
      <c r="O12" s="60"/>
      <c r="P12" s="88" t="s">
        <v>146</v>
      </c>
      <c r="Q12" s="60">
        <v>57750</v>
      </c>
      <c r="R12" s="76" t="s">
        <v>161</v>
      </c>
      <c r="S12" s="84"/>
      <c r="T12" s="71" t="s">
        <v>163</v>
      </c>
      <c r="U12" s="70"/>
      <c r="V12" s="80" t="s">
        <v>138</v>
      </c>
      <c r="W12" s="78"/>
      <c r="X12" s="81" t="s">
        <v>171</v>
      </c>
      <c r="Y12" s="78">
        <v>94500</v>
      </c>
      <c r="Z12" s="76" t="s">
        <v>139</v>
      </c>
      <c r="AA12" s="70"/>
      <c r="AB12" s="75" t="s">
        <v>140</v>
      </c>
      <c r="AC12" s="70">
        <v>75000</v>
      </c>
    </row>
    <row r="13" spans="1:30" x14ac:dyDescent="0.2">
      <c r="A13" s="45">
        <v>12</v>
      </c>
      <c r="B13" s="42" t="s">
        <v>303</v>
      </c>
      <c r="C13" s="34" t="s">
        <v>279</v>
      </c>
      <c r="D13" s="32" t="s">
        <v>246</v>
      </c>
      <c r="E13" s="55">
        <f t="shared" si="0"/>
        <v>1938750</v>
      </c>
      <c r="F13" s="59" t="s">
        <v>141</v>
      </c>
      <c r="G13" s="65">
        <v>810000</v>
      </c>
      <c r="H13" s="59" t="s">
        <v>134</v>
      </c>
      <c r="I13" s="65">
        <v>330000</v>
      </c>
      <c r="J13" s="69" t="s">
        <v>114</v>
      </c>
      <c r="K13" s="84">
        <v>510000</v>
      </c>
      <c r="L13" s="69" t="s">
        <v>119</v>
      </c>
      <c r="M13" s="84">
        <v>24750</v>
      </c>
      <c r="N13" s="61" t="s">
        <v>144</v>
      </c>
      <c r="O13" s="60"/>
      <c r="P13" s="88" t="s">
        <v>146</v>
      </c>
      <c r="Q13" s="60">
        <v>57750</v>
      </c>
      <c r="R13" s="76" t="s">
        <v>155</v>
      </c>
      <c r="S13" s="84"/>
      <c r="T13" s="69" t="s">
        <v>166</v>
      </c>
      <c r="U13" s="70">
        <v>131250</v>
      </c>
      <c r="V13" s="80" t="s">
        <v>247</v>
      </c>
      <c r="W13" s="78"/>
      <c r="X13" s="80" t="s">
        <v>102</v>
      </c>
      <c r="Y13" s="78"/>
      <c r="Z13" s="76" t="s">
        <v>106</v>
      </c>
      <c r="AA13" s="70"/>
      <c r="AB13" s="75" t="s">
        <v>140</v>
      </c>
      <c r="AC13" s="70">
        <v>75000</v>
      </c>
    </row>
    <row r="14" spans="1:30" x14ac:dyDescent="0.2">
      <c r="A14" s="45">
        <v>13</v>
      </c>
      <c r="B14" s="42" t="s">
        <v>281</v>
      </c>
      <c r="C14" s="34" t="s">
        <v>283</v>
      </c>
      <c r="D14" s="32" t="s">
        <v>44</v>
      </c>
      <c r="E14" s="55">
        <f t="shared" si="0"/>
        <v>1937250</v>
      </c>
      <c r="F14" s="59" t="s">
        <v>95</v>
      </c>
      <c r="G14" s="65">
        <v>1350000</v>
      </c>
      <c r="H14" s="59" t="s">
        <v>107</v>
      </c>
      <c r="I14" s="65">
        <v>34500</v>
      </c>
      <c r="J14" s="71" t="s">
        <v>205</v>
      </c>
      <c r="K14" s="84"/>
      <c r="L14" s="69" t="s">
        <v>66</v>
      </c>
      <c r="M14" s="84">
        <v>225000</v>
      </c>
      <c r="N14" s="59" t="s">
        <v>142</v>
      </c>
      <c r="O14" s="60">
        <v>195000</v>
      </c>
      <c r="P14" s="89" t="s">
        <v>135</v>
      </c>
      <c r="Q14" s="60"/>
      <c r="R14" s="75" t="s">
        <v>164</v>
      </c>
      <c r="S14" s="84">
        <v>57750</v>
      </c>
      <c r="T14" s="71" t="s">
        <v>137</v>
      </c>
      <c r="U14" s="70"/>
      <c r="V14" s="80" t="s">
        <v>138</v>
      </c>
      <c r="W14" s="78"/>
      <c r="X14" s="80" t="s">
        <v>130</v>
      </c>
      <c r="Y14" s="78"/>
      <c r="Z14" s="76" t="s">
        <v>139</v>
      </c>
      <c r="AA14" s="70"/>
      <c r="AB14" s="75" t="s">
        <v>140</v>
      </c>
      <c r="AC14" s="70">
        <v>75000</v>
      </c>
    </row>
    <row r="15" spans="1:30" x14ac:dyDescent="0.2">
      <c r="A15" s="45">
        <v>14</v>
      </c>
      <c r="B15" s="42" t="s">
        <v>227</v>
      </c>
      <c r="C15" s="34" t="s">
        <v>229</v>
      </c>
      <c r="D15" s="32" t="s">
        <v>44</v>
      </c>
      <c r="E15" s="55">
        <f t="shared" si="0"/>
        <v>1923563</v>
      </c>
      <c r="F15" s="59" t="s">
        <v>95</v>
      </c>
      <c r="G15" s="65">
        <v>1350000</v>
      </c>
      <c r="H15" s="59" t="s">
        <v>134</v>
      </c>
      <c r="I15" s="65">
        <v>330000</v>
      </c>
      <c r="J15" s="71" t="s">
        <v>205</v>
      </c>
      <c r="K15" s="84"/>
      <c r="L15" s="71" t="s">
        <v>126</v>
      </c>
      <c r="M15" s="84"/>
      <c r="N15" s="61" t="s">
        <v>144</v>
      </c>
      <c r="O15" s="60"/>
      <c r="P15" s="88" t="s">
        <v>147</v>
      </c>
      <c r="Q15" s="60">
        <v>69000</v>
      </c>
      <c r="R15" s="75" t="s">
        <v>154</v>
      </c>
      <c r="S15" s="84">
        <v>45563</v>
      </c>
      <c r="T15" s="69" t="s">
        <v>67</v>
      </c>
      <c r="U15" s="70">
        <v>34500</v>
      </c>
      <c r="V15" s="80" t="s">
        <v>138</v>
      </c>
      <c r="W15" s="78"/>
      <c r="X15" s="81" t="s">
        <v>171</v>
      </c>
      <c r="Y15" s="78">
        <v>94500</v>
      </c>
      <c r="Z15" s="76" t="s">
        <v>139</v>
      </c>
      <c r="AA15" s="70"/>
      <c r="AB15" s="76" t="s">
        <v>103</v>
      </c>
      <c r="AC15" s="70"/>
    </row>
    <row r="16" spans="1:30" x14ac:dyDescent="0.2">
      <c r="A16" s="45">
        <v>15</v>
      </c>
      <c r="B16" s="42" t="s">
        <v>48</v>
      </c>
      <c r="C16" s="34" t="s">
        <v>83</v>
      </c>
      <c r="D16" s="32" t="s">
        <v>44</v>
      </c>
      <c r="E16" s="55">
        <f t="shared" si="0"/>
        <v>1911000</v>
      </c>
      <c r="F16" s="59" t="s">
        <v>95</v>
      </c>
      <c r="G16" s="65">
        <v>1350000</v>
      </c>
      <c r="H16" s="61" t="s">
        <v>96</v>
      </c>
      <c r="I16" s="65"/>
      <c r="J16" s="69" t="s">
        <v>70</v>
      </c>
      <c r="K16" s="84">
        <v>251250</v>
      </c>
      <c r="L16" s="69" t="s">
        <v>45</v>
      </c>
      <c r="M16" s="84">
        <v>34500</v>
      </c>
      <c r="N16" s="61" t="s">
        <v>127</v>
      </c>
      <c r="O16" s="60"/>
      <c r="P16" s="88" t="s">
        <v>147</v>
      </c>
      <c r="Q16" s="60">
        <v>69000</v>
      </c>
      <c r="R16" s="76" t="s">
        <v>72</v>
      </c>
      <c r="S16" s="84"/>
      <c r="T16" s="69" t="s">
        <v>166</v>
      </c>
      <c r="U16" s="70">
        <v>131250</v>
      </c>
      <c r="V16" s="80" t="s">
        <v>247</v>
      </c>
      <c r="W16" s="78"/>
      <c r="X16" s="80" t="s">
        <v>102</v>
      </c>
      <c r="Y16" s="78"/>
      <c r="Z16" s="76" t="s">
        <v>174</v>
      </c>
      <c r="AA16" s="70"/>
      <c r="AB16" s="75" t="s">
        <v>140</v>
      </c>
      <c r="AC16" s="70">
        <v>75000</v>
      </c>
    </row>
    <row r="17" spans="1:29" x14ac:dyDescent="0.2">
      <c r="A17" s="45">
        <v>16</v>
      </c>
      <c r="B17" s="42" t="s">
        <v>313</v>
      </c>
      <c r="C17" s="34" t="s">
        <v>314</v>
      </c>
      <c r="D17" s="32" t="s">
        <v>44</v>
      </c>
      <c r="E17" s="55">
        <f t="shared" si="0"/>
        <v>1897500</v>
      </c>
      <c r="F17" s="59" t="s">
        <v>95</v>
      </c>
      <c r="G17" s="65">
        <v>1350000</v>
      </c>
      <c r="H17" s="59" t="s">
        <v>124</v>
      </c>
      <c r="I17" s="65">
        <v>94500</v>
      </c>
      <c r="J17" s="69" t="s">
        <v>215</v>
      </c>
      <c r="K17" s="84">
        <v>195000</v>
      </c>
      <c r="L17" s="71" t="s">
        <v>205</v>
      </c>
      <c r="M17" s="84"/>
      <c r="N17" s="59" t="s">
        <v>146</v>
      </c>
      <c r="O17" s="60">
        <v>57750</v>
      </c>
      <c r="P17" s="88" t="s">
        <v>152</v>
      </c>
      <c r="Q17" s="60">
        <v>131250</v>
      </c>
      <c r="R17" s="76" t="s">
        <v>161</v>
      </c>
      <c r="S17" s="84"/>
      <c r="T17" s="69" t="s">
        <v>100</v>
      </c>
      <c r="U17" s="70">
        <v>69000</v>
      </c>
      <c r="V17" s="80" t="s">
        <v>130</v>
      </c>
      <c r="W17" s="78"/>
      <c r="X17" s="80" t="s">
        <v>102</v>
      </c>
      <c r="Y17" s="78"/>
      <c r="Z17" s="76" t="s">
        <v>131</v>
      </c>
      <c r="AA17" s="70"/>
      <c r="AB17" s="76" t="s">
        <v>174</v>
      </c>
      <c r="AC17" s="70"/>
    </row>
    <row r="18" spans="1:29" x14ac:dyDescent="0.2">
      <c r="A18" s="45">
        <v>17</v>
      </c>
      <c r="B18" s="42" t="s">
        <v>238</v>
      </c>
      <c r="C18" s="34" t="s">
        <v>237</v>
      </c>
      <c r="D18" s="32" t="s">
        <v>44</v>
      </c>
      <c r="E18" s="55">
        <f t="shared" si="0"/>
        <v>1777500</v>
      </c>
      <c r="F18" s="59" t="s">
        <v>95</v>
      </c>
      <c r="G18" s="65">
        <v>1350000</v>
      </c>
      <c r="H18" s="59" t="s">
        <v>124</v>
      </c>
      <c r="I18" s="65">
        <v>94500</v>
      </c>
      <c r="J18" s="69" t="s">
        <v>215</v>
      </c>
      <c r="K18" s="84">
        <v>195000</v>
      </c>
      <c r="L18" s="69" t="s">
        <v>118</v>
      </c>
      <c r="M18" s="84">
        <v>34500</v>
      </c>
      <c r="N18" s="61" t="s">
        <v>153</v>
      </c>
      <c r="O18" s="60"/>
      <c r="P18" s="88" t="s">
        <v>147</v>
      </c>
      <c r="Q18" s="60">
        <v>69000</v>
      </c>
      <c r="R18" s="76" t="s">
        <v>72</v>
      </c>
      <c r="S18" s="84"/>
      <c r="T18" s="69" t="s">
        <v>67</v>
      </c>
      <c r="U18" s="70">
        <v>34500</v>
      </c>
      <c r="V18" s="80" t="s">
        <v>138</v>
      </c>
      <c r="W18" s="78"/>
      <c r="X18" s="80" t="s">
        <v>102</v>
      </c>
      <c r="Y18" s="78"/>
      <c r="Z18" s="76" t="s">
        <v>106</v>
      </c>
      <c r="AA18" s="70"/>
      <c r="AB18" s="76" t="s">
        <v>131</v>
      </c>
      <c r="AC18" s="70"/>
    </row>
    <row r="19" spans="1:29" x14ac:dyDescent="0.2">
      <c r="A19" s="45">
        <v>18</v>
      </c>
      <c r="B19" s="42" t="s">
        <v>230</v>
      </c>
      <c r="C19" s="34" t="s">
        <v>231</v>
      </c>
      <c r="D19" s="32" t="s">
        <v>44</v>
      </c>
      <c r="E19" s="55">
        <f t="shared" si="0"/>
        <v>1746750</v>
      </c>
      <c r="F19" s="59" t="s">
        <v>95</v>
      </c>
      <c r="G19" s="65">
        <v>1350000</v>
      </c>
      <c r="H19" s="59" t="s">
        <v>225</v>
      </c>
      <c r="I19" s="65">
        <v>57750</v>
      </c>
      <c r="J19" s="69" t="s">
        <v>215</v>
      </c>
      <c r="K19" s="84">
        <v>195000</v>
      </c>
      <c r="L19" s="71" t="s">
        <v>223</v>
      </c>
      <c r="M19" s="84"/>
      <c r="N19" s="61" t="s">
        <v>144</v>
      </c>
      <c r="O19" s="60"/>
      <c r="P19" s="89" t="s">
        <v>153</v>
      </c>
      <c r="Q19" s="60"/>
      <c r="R19" s="76" t="s">
        <v>72</v>
      </c>
      <c r="S19" s="84"/>
      <c r="T19" s="69" t="s">
        <v>100</v>
      </c>
      <c r="U19" s="70">
        <v>69000</v>
      </c>
      <c r="V19" s="80" t="s">
        <v>138</v>
      </c>
      <c r="W19" s="78"/>
      <c r="X19" s="80" t="s">
        <v>102</v>
      </c>
      <c r="Y19" s="78"/>
      <c r="Z19" s="76" t="s">
        <v>139</v>
      </c>
      <c r="AA19" s="70"/>
      <c r="AB19" s="75" t="s">
        <v>140</v>
      </c>
      <c r="AC19" s="70">
        <v>75000</v>
      </c>
    </row>
    <row r="20" spans="1:29" x14ac:dyDescent="0.2">
      <c r="A20" s="45">
        <v>19</v>
      </c>
      <c r="B20" s="42" t="s">
        <v>270</v>
      </c>
      <c r="C20" s="34" t="s">
        <v>271</v>
      </c>
      <c r="D20" s="32" t="s">
        <v>44</v>
      </c>
      <c r="E20" s="55">
        <f t="shared" si="0"/>
        <v>1739250</v>
      </c>
      <c r="F20" s="59" t="s">
        <v>95</v>
      </c>
      <c r="G20" s="65">
        <v>1350000</v>
      </c>
      <c r="H20" s="59" t="s">
        <v>134</v>
      </c>
      <c r="I20" s="65">
        <v>330000</v>
      </c>
      <c r="J20" s="69" t="s">
        <v>116</v>
      </c>
      <c r="K20" s="84">
        <v>30750</v>
      </c>
      <c r="L20" s="71" t="s">
        <v>126</v>
      </c>
      <c r="M20" s="84"/>
      <c r="N20" s="59" t="s">
        <v>143</v>
      </c>
      <c r="O20" s="60">
        <v>28500</v>
      </c>
      <c r="P20" s="89" t="s">
        <v>99</v>
      </c>
      <c r="Q20" s="60"/>
      <c r="R20" s="76" t="s">
        <v>169</v>
      </c>
      <c r="S20" s="84"/>
      <c r="T20" s="71" t="s">
        <v>160</v>
      </c>
      <c r="U20" s="70"/>
      <c r="V20" s="80" t="s">
        <v>172</v>
      </c>
      <c r="W20" s="78"/>
      <c r="X20" s="80" t="s">
        <v>130</v>
      </c>
      <c r="Y20" s="78"/>
      <c r="Z20" s="76" t="s">
        <v>139</v>
      </c>
      <c r="AA20" s="70"/>
      <c r="AB20" s="76" t="s">
        <v>103</v>
      </c>
      <c r="AC20" s="70"/>
    </row>
    <row r="21" spans="1:29" x14ac:dyDescent="0.2">
      <c r="A21" s="45">
        <v>20</v>
      </c>
      <c r="B21" s="42" t="s">
        <v>311</v>
      </c>
      <c r="C21" s="34" t="s">
        <v>314</v>
      </c>
      <c r="D21" s="32" t="s">
        <v>44</v>
      </c>
      <c r="E21" s="55">
        <f t="shared" si="0"/>
        <v>1669500</v>
      </c>
      <c r="F21" s="59" t="s">
        <v>95</v>
      </c>
      <c r="G21" s="65">
        <v>1350000</v>
      </c>
      <c r="H21" s="61" t="s">
        <v>110</v>
      </c>
      <c r="I21" s="65"/>
      <c r="J21" s="69" t="s">
        <v>117</v>
      </c>
      <c r="K21" s="84">
        <v>94500</v>
      </c>
      <c r="L21" s="69" t="s">
        <v>66</v>
      </c>
      <c r="M21" s="84">
        <v>225000</v>
      </c>
      <c r="N21" s="61" t="s">
        <v>69</v>
      </c>
      <c r="O21" s="60"/>
      <c r="P21" s="89" t="s">
        <v>127</v>
      </c>
      <c r="Q21" s="60"/>
      <c r="R21" s="76" t="s">
        <v>155</v>
      </c>
      <c r="S21" s="84"/>
      <c r="T21" s="71" t="s">
        <v>137</v>
      </c>
      <c r="U21" s="70"/>
      <c r="V21" s="80" t="s">
        <v>130</v>
      </c>
      <c r="W21" s="78"/>
      <c r="X21" s="80" t="s">
        <v>102</v>
      </c>
      <c r="Y21" s="78"/>
      <c r="Z21" s="76" t="s">
        <v>106</v>
      </c>
      <c r="AA21" s="70"/>
      <c r="AB21" s="76" t="s">
        <v>103</v>
      </c>
      <c r="AC21" s="70"/>
    </row>
    <row r="22" spans="1:29" x14ac:dyDescent="0.2">
      <c r="A22" s="45">
        <v>21</v>
      </c>
      <c r="B22" s="42" t="s">
        <v>219</v>
      </c>
      <c r="C22" s="34" t="s">
        <v>222</v>
      </c>
      <c r="D22" s="32" t="s">
        <v>44</v>
      </c>
      <c r="E22" s="55">
        <f t="shared" si="0"/>
        <v>1652250</v>
      </c>
      <c r="F22" s="59" t="s">
        <v>95</v>
      </c>
      <c r="G22" s="65">
        <v>1350000</v>
      </c>
      <c r="H22" s="61" t="s">
        <v>96</v>
      </c>
      <c r="I22" s="65"/>
      <c r="J22" s="69" t="s">
        <v>116</v>
      </c>
      <c r="K22" s="84">
        <v>30750</v>
      </c>
      <c r="L22" s="71" t="s">
        <v>126</v>
      </c>
      <c r="M22" s="84"/>
      <c r="N22" s="59" t="s">
        <v>136</v>
      </c>
      <c r="O22" s="60">
        <v>225000</v>
      </c>
      <c r="P22" s="88" t="s">
        <v>145</v>
      </c>
      <c r="Q22" s="60">
        <v>24750</v>
      </c>
      <c r="R22" s="75" t="s">
        <v>165</v>
      </c>
      <c r="S22" s="84">
        <v>21750</v>
      </c>
      <c r="T22" s="71" t="s">
        <v>163</v>
      </c>
      <c r="U22" s="70"/>
      <c r="V22" s="80" t="s">
        <v>224</v>
      </c>
      <c r="W22" s="78"/>
      <c r="X22" s="80" t="s">
        <v>130</v>
      </c>
      <c r="Y22" s="78"/>
      <c r="Z22" s="76" t="s">
        <v>103</v>
      </c>
      <c r="AA22" s="70"/>
      <c r="AB22" s="76" t="s">
        <v>174</v>
      </c>
      <c r="AC22" s="70"/>
    </row>
    <row r="23" spans="1:29" x14ac:dyDescent="0.2">
      <c r="A23" s="45">
        <v>22</v>
      </c>
      <c r="B23" s="42" t="s">
        <v>54</v>
      </c>
      <c r="C23" s="34" t="s">
        <v>55</v>
      </c>
      <c r="D23" s="32" t="s">
        <v>44</v>
      </c>
      <c r="E23" s="55">
        <f t="shared" si="0"/>
        <v>1624313</v>
      </c>
      <c r="F23" s="59" t="s">
        <v>95</v>
      </c>
      <c r="G23" s="65">
        <v>1350000</v>
      </c>
      <c r="H23" s="59" t="s">
        <v>124</v>
      </c>
      <c r="I23" s="65">
        <v>94500</v>
      </c>
      <c r="J23" s="69" t="s">
        <v>118</v>
      </c>
      <c r="K23" s="84">
        <v>34500</v>
      </c>
      <c r="L23" s="71" t="s">
        <v>126</v>
      </c>
      <c r="M23" s="84"/>
      <c r="N23" s="61" t="s">
        <v>144</v>
      </c>
      <c r="O23" s="60"/>
      <c r="P23" s="88" t="s">
        <v>145</v>
      </c>
      <c r="Q23" s="60">
        <v>24750</v>
      </c>
      <c r="R23" s="75" t="s">
        <v>156</v>
      </c>
      <c r="S23" s="84">
        <v>45563</v>
      </c>
      <c r="T23" s="71" t="s">
        <v>163</v>
      </c>
      <c r="U23" s="70"/>
      <c r="V23" s="80" t="s">
        <v>138</v>
      </c>
      <c r="W23" s="78"/>
      <c r="X23" s="80" t="s">
        <v>102</v>
      </c>
      <c r="Y23" s="78"/>
      <c r="Z23" s="76" t="s">
        <v>131</v>
      </c>
      <c r="AA23" s="70"/>
      <c r="AB23" s="75" t="s">
        <v>140</v>
      </c>
      <c r="AC23" s="70">
        <v>75000</v>
      </c>
    </row>
    <row r="24" spans="1:29" x14ac:dyDescent="0.2">
      <c r="A24" s="45">
        <v>23</v>
      </c>
      <c r="B24" s="42" t="s">
        <v>305</v>
      </c>
      <c r="C24" s="34" t="s">
        <v>304</v>
      </c>
      <c r="D24" s="32" t="s">
        <v>44</v>
      </c>
      <c r="E24" s="55">
        <f t="shared" si="0"/>
        <v>1595813</v>
      </c>
      <c r="F24" s="59" t="s">
        <v>95</v>
      </c>
      <c r="G24" s="65">
        <v>1350000</v>
      </c>
      <c r="H24" s="59" t="s">
        <v>125</v>
      </c>
      <c r="I24" s="65">
        <v>45563</v>
      </c>
      <c r="J24" s="69" t="s">
        <v>45</v>
      </c>
      <c r="K24" s="84">
        <v>34500</v>
      </c>
      <c r="L24" s="71" t="s">
        <v>126</v>
      </c>
      <c r="M24" s="84"/>
      <c r="N24" s="61" t="s">
        <v>144</v>
      </c>
      <c r="O24" s="60"/>
      <c r="P24" s="89" t="s">
        <v>153</v>
      </c>
      <c r="Q24" s="60"/>
      <c r="R24" s="75" t="s">
        <v>166</v>
      </c>
      <c r="S24" s="84">
        <v>131250</v>
      </c>
      <c r="T24" s="69" t="s">
        <v>67</v>
      </c>
      <c r="U24" s="70">
        <v>34500</v>
      </c>
      <c r="V24" s="80" t="s">
        <v>138</v>
      </c>
      <c r="W24" s="78"/>
      <c r="X24" s="80" t="s">
        <v>102</v>
      </c>
      <c r="Y24" s="78"/>
      <c r="Z24" s="76" t="s">
        <v>131</v>
      </c>
      <c r="AA24" s="70"/>
      <c r="AB24" s="76" t="s">
        <v>174</v>
      </c>
      <c r="AC24" s="70"/>
    </row>
    <row r="25" spans="1:29" x14ac:dyDescent="0.2">
      <c r="A25" s="45">
        <v>24</v>
      </c>
      <c r="B25" s="42" t="s">
        <v>226</v>
      </c>
      <c r="C25" s="34" t="s">
        <v>228</v>
      </c>
      <c r="D25" s="32" t="s">
        <v>44</v>
      </c>
      <c r="E25" s="55">
        <f t="shared" si="0"/>
        <v>1595250</v>
      </c>
      <c r="F25" s="59" t="s">
        <v>124</v>
      </c>
      <c r="G25" s="65">
        <v>94500</v>
      </c>
      <c r="H25" s="59" t="s">
        <v>134</v>
      </c>
      <c r="I25" s="65">
        <v>330000</v>
      </c>
      <c r="J25" s="69" t="s">
        <v>114</v>
      </c>
      <c r="K25" s="84">
        <v>510000</v>
      </c>
      <c r="L25" s="69" t="s">
        <v>66</v>
      </c>
      <c r="M25" s="84">
        <v>225000</v>
      </c>
      <c r="N25" s="61" t="s">
        <v>69</v>
      </c>
      <c r="O25" s="60"/>
      <c r="P25" s="88" t="s">
        <v>128</v>
      </c>
      <c r="Q25" s="60">
        <v>270000</v>
      </c>
      <c r="R25" s="75" t="s">
        <v>166</v>
      </c>
      <c r="S25" s="84">
        <v>131250</v>
      </c>
      <c r="T25" s="69" t="s">
        <v>67</v>
      </c>
      <c r="U25" s="70">
        <v>34500</v>
      </c>
      <c r="V25" s="80" t="s">
        <v>206</v>
      </c>
      <c r="W25" s="78"/>
      <c r="X25" s="80" t="s">
        <v>138</v>
      </c>
      <c r="Y25" s="78"/>
      <c r="Z25" s="76" t="s">
        <v>139</v>
      </c>
      <c r="AA25" s="70"/>
      <c r="AB25" s="76" t="s">
        <v>103</v>
      </c>
      <c r="AC25" s="70"/>
    </row>
    <row r="26" spans="1:29" x14ac:dyDescent="0.2">
      <c r="A26" s="45">
        <v>25</v>
      </c>
      <c r="B26" s="42" t="s">
        <v>46</v>
      </c>
      <c r="C26" s="34" t="s">
        <v>77</v>
      </c>
      <c r="D26" s="32" t="s">
        <v>44</v>
      </c>
      <c r="E26" s="55">
        <f t="shared" si="0"/>
        <v>1576500</v>
      </c>
      <c r="F26" s="59" t="s">
        <v>95</v>
      </c>
      <c r="G26" s="65">
        <v>1350000</v>
      </c>
      <c r="H26" s="61" t="s">
        <v>96</v>
      </c>
      <c r="I26" s="65"/>
      <c r="J26" s="69" t="s">
        <v>97</v>
      </c>
      <c r="K26" s="84">
        <v>94500</v>
      </c>
      <c r="L26" s="69" t="s">
        <v>45</v>
      </c>
      <c r="M26" s="84">
        <v>34500</v>
      </c>
      <c r="N26" s="59" t="s">
        <v>98</v>
      </c>
      <c r="O26" s="60">
        <v>28500</v>
      </c>
      <c r="P26" s="89" t="s">
        <v>99</v>
      </c>
      <c r="Q26" s="60"/>
      <c r="R26" s="75" t="s">
        <v>100</v>
      </c>
      <c r="S26" s="84">
        <v>69000</v>
      </c>
      <c r="T26" s="71" t="s">
        <v>101</v>
      </c>
      <c r="U26" s="70"/>
      <c r="V26" s="80" t="s">
        <v>206</v>
      </c>
      <c r="W26" s="78"/>
      <c r="X26" s="80" t="s">
        <v>102</v>
      </c>
      <c r="Y26" s="78"/>
      <c r="Z26" s="76" t="s">
        <v>103</v>
      </c>
      <c r="AA26" s="70"/>
      <c r="AB26" s="76" t="s">
        <v>106</v>
      </c>
      <c r="AC26" s="70"/>
    </row>
    <row r="27" spans="1:29" x14ac:dyDescent="0.2">
      <c r="A27" s="45">
        <v>26</v>
      </c>
      <c r="B27" s="42" t="s">
        <v>257</v>
      </c>
      <c r="C27" s="34" t="s">
        <v>260</v>
      </c>
      <c r="D27" s="32" t="s">
        <v>246</v>
      </c>
      <c r="E27" s="55">
        <f t="shared" si="0"/>
        <v>1531500</v>
      </c>
      <c r="F27" s="59" t="s">
        <v>95</v>
      </c>
      <c r="G27" s="65">
        <v>1350000</v>
      </c>
      <c r="H27" s="59" t="s">
        <v>107</v>
      </c>
      <c r="I27" s="65">
        <v>34500</v>
      </c>
      <c r="J27" s="69" t="s">
        <v>118</v>
      </c>
      <c r="K27" s="84">
        <v>34500</v>
      </c>
      <c r="L27" s="71" t="s">
        <v>212</v>
      </c>
      <c r="M27" s="84"/>
      <c r="N27" s="59" t="s">
        <v>145</v>
      </c>
      <c r="O27" s="60">
        <v>24750</v>
      </c>
      <c r="P27" s="89" t="s">
        <v>127</v>
      </c>
      <c r="Q27" s="60"/>
      <c r="R27" s="75" t="s">
        <v>162</v>
      </c>
      <c r="S27" s="84">
        <v>53250</v>
      </c>
      <c r="T27" s="69" t="s">
        <v>67</v>
      </c>
      <c r="U27" s="70">
        <v>34500</v>
      </c>
      <c r="V27" s="80" t="s">
        <v>247</v>
      </c>
      <c r="W27" s="78"/>
      <c r="X27" s="80" t="s">
        <v>102</v>
      </c>
      <c r="Y27" s="78"/>
      <c r="Z27" s="76" t="s">
        <v>139</v>
      </c>
      <c r="AA27" s="70"/>
      <c r="AB27" s="76" t="s">
        <v>103</v>
      </c>
      <c r="AC27" s="70"/>
    </row>
    <row r="28" spans="1:29" x14ac:dyDescent="0.2">
      <c r="A28" s="45">
        <v>27</v>
      </c>
      <c r="B28" s="42" t="s">
        <v>214</v>
      </c>
      <c r="C28" s="34" t="s">
        <v>213</v>
      </c>
      <c r="D28" s="32" t="s">
        <v>44</v>
      </c>
      <c r="E28" s="55">
        <f t="shared" si="0"/>
        <v>1513500</v>
      </c>
      <c r="F28" s="59" t="s">
        <v>141</v>
      </c>
      <c r="G28" s="65">
        <v>810000</v>
      </c>
      <c r="H28" s="59" t="s">
        <v>134</v>
      </c>
      <c r="I28" s="65">
        <v>330000</v>
      </c>
      <c r="J28" s="69" t="s">
        <v>215</v>
      </c>
      <c r="K28" s="84">
        <v>195000</v>
      </c>
      <c r="L28" s="69" t="s">
        <v>118</v>
      </c>
      <c r="M28" s="84">
        <v>34500</v>
      </c>
      <c r="N28" s="61" t="s">
        <v>69</v>
      </c>
      <c r="O28" s="60"/>
      <c r="P28" s="88" t="s">
        <v>147</v>
      </c>
      <c r="Q28" s="60">
        <v>69000</v>
      </c>
      <c r="R28" s="76" t="s">
        <v>161</v>
      </c>
      <c r="S28" s="84"/>
      <c r="T28" s="71" t="s">
        <v>155</v>
      </c>
      <c r="U28" s="70"/>
      <c r="V28" s="80" t="s">
        <v>206</v>
      </c>
      <c r="W28" s="78"/>
      <c r="X28" s="80" t="s">
        <v>102</v>
      </c>
      <c r="Y28" s="78"/>
      <c r="Z28" s="76" t="s">
        <v>106</v>
      </c>
      <c r="AA28" s="70"/>
      <c r="AB28" s="75" t="s">
        <v>140</v>
      </c>
      <c r="AC28" s="70">
        <v>75000</v>
      </c>
    </row>
    <row r="29" spans="1:29" x14ac:dyDescent="0.2">
      <c r="A29" s="45">
        <v>28</v>
      </c>
      <c r="B29" s="42" t="s">
        <v>317</v>
      </c>
      <c r="C29" s="34" t="s">
        <v>323</v>
      </c>
      <c r="D29" s="32" t="s">
        <v>44</v>
      </c>
      <c r="E29" s="55">
        <f t="shared" si="0"/>
        <v>1473000</v>
      </c>
      <c r="F29" s="59" t="s">
        <v>124</v>
      </c>
      <c r="G29" s="65">
        <v>94500</v>
      </c>
      <c r="H29" s="59" t="s">
        <v>134</v>
      </c>
      <c r="I29" s="65">
        <v>330000</v>
      </c>
      <c r="J29" s="69" t="s">
        <v>215</v>
      </c>
      <c r="K29" s="84">
        <v>195000</v>
      </c>
      <c r="L29" s="71" t="s">
        <v>205</v>
      </c>
      <c r="M29" s="84"/>
      <c r="N29" s="59" t="s">
        <v>136</v>
      </c>
      <c r="O29" s="60">
        <v>225000</v>
      </c>
      <c r="P29" s="88" t="s">
        <v>128</v>
      </c>
      <c r="Q29" s="60">
        <v>270000</v>
      </c>
      <c r="R29" s="75" t="s">
        <v>164</v>
      </c>
      <c r="S29" s="84">
        <v>57750</v>
      </c>
      <c r="T29" s="69" t="s">
        <v>166</v>
      </c>
      <c r="U29" s="70">
        <v>131250</v>
      </c>
      <c r="V29" s="80" t="s">
        <v>247</v>
      </c>
      <c r="W29" s="78"/>
      <c r="X29" s="81" t="s">
        <v>171</v>
      </c>
      <c r="Y29" s="78">
        <v>94500</v>
      </c>
      <c r="Z29" s="76" t="s">
        <v>106</v>
      </c>
      <c r="AA29" s="70"/>
      <c r="AB29" s="75" t="s">
        <v>140</v>
      </c>
      <c r="AC29" s="70">
        <v>75000</v>
      </c>
    </row>
    <row r="30" spans="1:29" x14ac:dyDescent="0.2">
      <c r="A30" s="45">
        <v>29</v>
      </c>
      <c r="B30" s="43" t="s">
        <v>80</v>
      </c>
      <c r="C30" s="34" t="s">
        <v>323</v>
      </c>
      <c r="D30" s="33" t="s">
        <v>44</v>
      </c>
      <c r="E30" s="55">
        <f t="shared" si="0"/>
        <v>1450313</v>
      </c>
      <c r="F30" s="59" t="s">
        <v>141</v>
      </c>
      <c r="G30" s="65">
        <v>810000</v>
      </c>
      <c r="H30" s="59" t="s">
        <v>125</v>
      </c>
      <c r="I30" s="65">
        <v>45563</v>
      </c>
      <c r="J30" s="69" t="s">
        <v>45</v>
      </c>
      <c r="K30" s="84">
        <v>34500</v>
      </c>
      <c r="L30" s="69" t="s">
        <v>118</v>
      </c>
      <c r="M30" s="84">
        <v>34500</v>
      </c>
      <c r="N30" s="59" t="s">
        <v>143</v>
      </c>
      <c r="O30" s="60">
        <v>28500</v>
      </c>
      <c r="P30" s="88" t="s">
        <v>128</v>
      </c>
      <c r="Q30" s="60">
        <v>270000</v>
      </c>
      <c r="R30" s="75" t="s">
        <v>164</v>
      </c>
      <c r="S30" s="84">
        <v>57750</v>
      </c>
      <c r="T30" s="71" t="s">
        <v>163</v>
      </c>
      <c r="U30" s="70"/>
      <c r="V30" s="80" t="s">
        <v>247</v>
      </c>
      <c r="W30" s="78"/>
      <c r="X30" s="81" t="s">
        <v>171</v>
      </c>
      <c r="Y30" s="78">
        <v>94500</v>
      </c>
      <c r="Z30" s="76" t="s">
        <v>106</v>
      </c>
      <c r="AA30" s="70"/>
      <c r="AB30" s="75" t="s">
        <v>140</v>
      </c>
      <c r="AC30" s="70">
        <v>75000</v>
      </c>
    </row>
    <row r="31" spans="1:29" x14ac:dyDescent="0.2">
      <c r="A31" s="45">
        <v>30</v>
      </c>
      <c r="B31" s="42" t="s">
        <v>264</v>
      </c>
      <c r="C31" s="34" t="s">
        <v>266</v>
      </c>
      <c r="D31" s="32" t="s">
        <v>44</v>
      </c>
      <c r="E31" s="55">
        <f t="shared" si="0"/>
        <v>1398000</v>
      </c>
      <c r="F31" s="59" t="s">
        <v>107</v>
      </c>
      <c r="G31" s="65">
        <v>34500</v>
      </c>
      <c r="H31" s="59" t="s">
        <v>134</v>
      </c>
      <c r="I31" s="65">
        <v>330000</v>
      </c>
      <c r="J31" s="69" t="s">
        <v>215</v>
      </c>
      <c r="K31" s="84">
        <v>195000</v>
      </c>
      <c r="L31" s="69" t="s">
        <v>114</v>
      </c>
      <c r="M31" s="84">
        <v>510000</v>
      </c>
      <c r="N31" s="59" t="s">
        <v>136</v>
      </c>
      <c r="O31" s="60">
        <v>225000</v>
      </c>
      <c r="P31" s="88" t="s">
        <v>147</v>
      </c>
      <c r="Q31" s="60">
        <v>69000</v>
      </c>
      <c r="R31" s="75" t="s">
        <v>67</v>
      </c>
      <c r="S31" s="84">
        <v>34500</v>
      </c>
      <c r="T31" s="71" t="s">
        <v>163</v>
      </c>
      <c r="U31" s="70"/>
      <c r="V31" s="80" t="s">
        <v>206</v>
      </c>
      <c r="W31" s="78"/>
      <c r="X31" s="80" t="s">
        <v>138</v>
      </c>
      <c r="Y31" s="78"/>
      <c r="Z31" s="76" t="s">
        <v>131</v>
      </c>
      <c r="AA31" s="70"/>
      <c r="AB31" s="76" t="s">
        <v>174</v>
      </c>
      <c r="AC31" s="70"/>
    </row>
    <row r="32" spans="1:29" x14ac:dyDescent="0.2">
      <c r="A32" s="45">
        <v>31</v>
      </c>
      <c r="B32" s="43" t="s">
        <v>306</v>
      </c>
      <c r="C32" s="34" t="s">
        <v>307</v>
      </c>
      <c r="D32" s="33" t="s">
        <v>44</v>
      </c>
      <c r="E32" s="55">
        <f t="shared" si="0"/>
        <v>1379250</v>
      </c>
      <c r="F32" s="59" t="s">
        <v>124</v>
      </c>
      <c r="G32" s="65">
        <v>94500</v>
      </c>
      <c r="H32" s="59" t="s">
        <v>134</v>
      </c>
      <c r="I32" s="65">
        <v>330000</v>
      </c>
      <c r="J32" s="69" t="s">
        <v>215</v>
      </c>
      <c r="K32" s="84">
        <v>195000</v>
      </c>
      <c r="L32" s="69" t="s">
        <v>114</v>
      </c>
      <c r="M32" s="84">
        <v>510000</v>
      </c>
      <c r="N32" s="59" t="s">
        <v>136</v>
      </c>
      <c r="O32" s="60">
        <v>225000</v>
      </c>
      <c r="P32" s="88" t="s">
        <v>145</v>
      </c>
      <c r="Q32" s="60">
        <v>24750</v>
      </c>
      <c r="R32" s="76" t="s">
        <v>129</v>
      </c>
      <c r="S32" s="84"/>
      <c r="T32" s="71" t="s">
        <v>163</v>
      </c>
      <c r="U32" s="70"/>
      <c r="V32" s="80" t="s">
        <v>138</v>
      </c>
      <c r="W32" s="78"/>
      <c r="X32" s="80" t="s">
        <v>102</v>
      </c>
      <c r="Y32" s="78"/>
      <c r="Z32" s="76" t="s">
        <v>139</v>
      </c>
      <c r="AA32" s="70"/>
      <c r="AB32" s="76" t="s">
        <v>103</v>
      </c>
      <c r="AC32" s="70"/>
    </row>
    <row r="33" spans="1:29" x14ac:dyDescent="0.2">
      <c r="A33" s="45">
        <v>32</v>
      </c>
      <c r="B33" s="42" t="s">
        <v>132</v>
      </c>
      <c r="C33" s="34" t="s">
        <v>133</v>
      </c>
      <c r="D33" s="32" t="s">
        <v>44</v>
      </c>
      <c r="E33" s="55">
        <f t="shared" si="0"/>
        <v>1363500</v>
      </c>
      <c r="F33" s="59" t="s">
        <v>124</v>
      </c>
      <c r="G33" s="65">
        <v>94500</v>
      </c>
      <c r="H33" s="59" t="s">
        <v>134</v>
      </c>
      <c r="I33" s="65">
        <v>330000</v>
      </c>
      <c r="J33" s="69" t="s">
        <v>114</v>
      </c>
      <c r="K33" s="84">
        <v>510000</v>
      </c>
      <c r="L33" s="69" t="s">
        <v>117</v>
      </c>
      <c r="M33" s="84">
        <v>94500</v>
      </c>
      <c r="N33" s="61" t="s">
        <v>135</v>
      </c>
      <c r="O33" s="60"/>
      <c r="P33" s="88" t="s">
        <v>136</v>
      </c>
      <c r="Q33" s="60">
        <v>225000</v>
      </c>
      <c r="R33" s="76" t="s">
        <v>137</v>
      </c>
      <c r="S33" s="84"/>
      <c r="T33" s="69" t="s">
        <v>67</v>
      </c>
      <c r="U33" s="70">
        <v>34500</v>
      </c>
      <c r="V33" s="80" t="s">
        <v>206</v>
      </c>
      <c r="W33" s="78"/>
      <c r="X33" s="80" t="s">
        <v>138</v>
      </c>
      <c r="Y33" s="78"/>
      <c r="Z33" s="76" t="s">
        <v>139</v>
      </c>
      <c r="AA33" s="70"/>
      <c r="AB33" s="75" t="s">
        <v>140</v>
      </c>
      <c r="AC33" s="70">
        <v>75000</v>
      </c>
    </row>
    <row r="34" spans="1:29" x14ac:dyDescent="0.2">
      <c r="A34" s="45">
        <v>33</v>
      </c>
      <c r="B34" s="42" t="s">
        <v>259</v>
      </c>
      <c r="C34" s="34" t="s">
        <v>260</v>
      </c>
      <c r="D34" s="32" t="s">
        <v>246</v>
      </c>
      <c r="E34" s="55">
        <f t="shared" ref="E34:E65" si="1">SUM(G34)+I34+K34+M34+O34+Q34+S34+U34+W34+Y34+AA34+AC34</f>
        <v>1355063</v>
      </c>
      <c r="F34" s="59" t="s">
        <v>141</v>
      </c>
      <c r="G34" s="65">
        <v>810000</v>
      </c>
      <c r="H34" s="61" t="s">
        <v>108</v>
      </c>
      <c r="I34" s="65"/>
      <c r="J34" s="69" t="s">
        <v>117</v>
      </c>
      <c r="K34" s="84">
        <v>94500</v>
      </c>
      <c r="L34" s="69" t="s">
        <v>70</v>
      </c>
      <c r="M34" s="84">
        <v>251250</v>
      </c>
      <c r="N34" s="59" t="s">
        <v>151</v>
      </c>
      <c r="O34" s="60">
        <v>94500</v>
      </c>
      <c r="P34" s="88" t="s">
        <v>145</v>
      </c>
      <c r="Q34" s="60">
        <v>24750</v>
      </c>
      <c r="R34" s="75" t="s">
        <v>159</v>
      </c>
      <c r="S34" s="84">
        <v>45563</v>
      </c>
      <c r="T34" s="69" t="s">
        <v>67</v>
      </c>
      <c r="U34" s="70">
        <v>34500</v>
      </c>
      <c r="V34" s="80" t="s">
        <v>206</v>
      </c>
      <c r="W34" s="78"/>
      <c r="X34" s="80" t="s">
        <v>102</v>
      </c>
      <c r="Y34" s="78"/>
      <c r="Z34" s="76" t="s">
        <v>131</v>
      </c>
      <c r="AA34" s="70"/>
      <c r="AB34" s="76" t="s">
        <v>103</v>
      </c>
      <c r="AC34" s="70"/>
    </row>
    <row r="35" spans="1:29" x14ac:dyDescent="0.2">
      <c r="A35" s="45">
        <v>34</v>
      </c>
      <c r="B35" s="42" t="s">
        <v>309</v>
      </c>
      <c r="C35" s="34" t="s">
        <v>308</v>
      </c>
      <c r="D35" s="32" t="s">
        <v>44</v>
      </c>
      <c r="E35" s="55">
        <f t="shared" si="1"/>
        <v>1332563</v>
      </c>
      <c r="F35" s="59" t="s">
        <v>125</v>
      </c>
      <c r="G35" s="65">
        <v>45563</v>
      </c>
      <c r="H35" s="59" t="s">
        <v>134</v>
      </c>
      <c r="I35" s="65">
        <v>330000</v>
      </c>
      <c r="J35" s="69" t="s">
        <v>114</v>
      </c>
      <c r="K35" s="84">
        <v>510000</v>
      </c>
      <c r="L35" s="69" t="s">
        <v>117</v>
      </c>
      <c r="M35" s="84">
        <v>94500</v>
      </c>
      <c r="N35" s="59" t="s">
        <v>128</v>
      </c>
      <c r="O35" s="60">
        <v>270000</v>
      </c>
      <c r="P35" s="88" t="s">
        <v>145</v>
      </c>
      <c r="Q35" s="60">
        <v>24750</v>
      </c>
      <c r="R35" s="75" t="s">
        <v>164</v>
      </c>
      <c r="S35" s="84">
        <v>57750</v>
      </c>
      <c r="T35" s="71" t="s">
        <v>163</v>
      </c>
      <c r="U35" s="70"/>
      <c r="V35" s="80" t="s">
        <v>206</v>
      </c>
      <c r="W35" s="78"/>
      <c r="X35" s="80" t="s">
        <v>130</v>
      </c>
      <c r="Y35" s="78"/>
      <c r="Z35" s="76" t="s">
        <v>103</v>
      </c>
      <c r="AA35" s="70"/>
      <c r="AB35" s="76" t="s">
        <v>174</v>
      </c>
      <c r="AC35" s="70"/>
    </row>
    <row r="36" spans="1:29" x14ac:dyDescent="0.2">
      <c r="A36" s="45">
        <v>35</v>
      </c>
      <c r="B36" s="42" t="s">
        <v>256</v>
      </c>
      <c r="C36" s="34" t="s">
        <v>260</v>
      </c>
      <c r="D36" s="32" t="s">
        <v>246</v>
      </c>
      <c r="E36" s="55">
        <f t="shared" si="1"/>
        <v>1320000</v>
      </c>
      <c r="F36" s="59" t="s">
        <v>141</v>
      </c>
      <c r="G36" s="65">
        <v>810000</v>
      </c>
      <c r="H36" s="59" t="s">
        <v>107</v>
      </c>
      <c r="I36" s="65">
        <v>34500</v>
      </c>
      <c r="J36" s="69" t="s">
        <v>70</v>
      </c>
      <c r="K36" s="84">
        <v>251250</v>
      </c>
      <c r="L36" s="71" t="s">
        <v>212</v>
      </c>
      <c r="M36" s="84"/>
      <c r="N36" s="59" t="s">
        <v>145</v>
      </c>
      <c r="O36" s="60">
        <v>24750</v>
      </c>
      <c r="P36" s="88" t="s">
        <v>150</v>
      </c>
      <c r="Q36" s="60">
        <v>165000</v>
      </c>
      <c r="R36" s="76" t="s">
        <v>129</v>
      </c>
      <c r="S36" s="84"/>
      <c r="T36" s="69" t="s">
        <v>67</v>
      </c>
      <c r="U36" s="70">
        <v>34500</v>
      </c>
      <c r="V36" s="80" t="s">
        <v>247</v>
      </c>
      <c r="W36" s="78"/>
      <c r="X36" s="80" t="s">
        <v>102</v>
      </c>
      <c r="Y36" s="78"/>
      <c r="Z36" s="76" t="s">
        <v>139</v>
      </c>
      <c r="AA36" s="70"/>
      <c r="AB36" s="76" t="s">
        <v>103</v>
      </c>
      <c r="AC36" s="70"/>
    </row>
    <row r="37" spans="1:29" x14ac:dyDescent="0.2">
      <c r="A37" s="45">
        <v>36</v>
      </c>
      <c r="B37" s="42" t="s">
        <v>293</v>
      </c>
      <c r="C37" s="34" t="s">
        <v>294</v>
      </c>
      <c r="D37" s="32" t="s">
        <v>44</v>
      </c>
      <c r="E37" s="55">
        <f t="shared" si="1"/>
        <v>1154250</v>
      </c>
      <c r="F37" s="59" t="s">
        <v>124</v>
      </c>
      <c r="G37" s="65">
        <v>94500</v>
      </c>
      <c r="H37" s="59" t="s">
        <v>134</v>
      </c>
      <c r="I37" s="65">
        <v>330000</v>
      </c>
      <c r="J37" s="69" t="s">
        <v>66</v>
      </c>
      <c r="K37" s="84">
        <v>225000</v>
      </c>
      <c r="L37" s="71" t="s">
        <v>212</v>
      </c>
      <c r="M37" s="84"/>
      <c r="N37" s="59" t="s">
        <v>98</v>
      </c>
      <c r="O37" s="60">
        <v>28500</v>
      </c>
      <c r="P37" s="88" t="s">
        <v>128</v>
      </c>
      <c r="Q37" s="60">
        <v>270000</v>
      </c>
      <c r="R37" s="75" t="s">
        <v>166</v>
      </c>
      <c r="S37" s="84">
        <v>131250</v>
      </c>
      <c r="T37" s="71" t="s">
        <v>163</v>
      </c>
      <c r="U37" s="70"/>
      <c r="V37" s="80" t="s">
        <v>206</v>
      </c>
      <c r="W37" s="78"/>
      <c r="X37" s="80" t="s">
        <v>102</v>
      </c>
      <c r="Y37" s="78"/>
      <c r="Z37" s="76" t="s">
        <v>131</v>
      </c>
      <c r="AA37" s="70"/>
      <c r="AB37" s="75" t="s">
        <v>140</v>
      </c>
      <c r="AC37" s="70">
        <v>75000</v>
      </c>
    </row>
    <row r="38" spans="1:29" x14ac:dyDescent="0.2">
      <c r="A38" s="45">
        <v>37</v>
      </c>
      <c r="B38" s="42" t="s">
        <v>86</v>
      </c>
      <c r="C38" s="34" t="s">
        <v>87</v>
      </c>
      <c r="D38" s="32" t="s">
        <v>44</v>
      </c>
      <c r="E38" s="55">
        <f t="shared" si="1"/>
        <v>1143563</v>
      </c>
      <c r="F38" s="59" t="s">
        <v>125</v>
      </c>
      <c r="G38" s="65">
        <v>45563</v>
      </c>
      <c r="H38" s="59" t="s">
        <v>134</v>
      </c>
      <c r="I38" s="65">
        <v>330000</v>
      </c>
      <c r="J38" s="69" t="s">
        <v>114</v>
      </c>
      <c r="K38" s="84">
        <v>510000</v>
      </c>
      <c r="L38" s="71" t="s">
        <v>126</v>
      </c>
      <c r="M38" s="84"/>
      <c r="N38" s="61" t="s">
        <v>144</v>
      </c>
      <c r="O38" s="60"/>
      <c r="P38" s="88" t="s">
        <v>147</v>
      </c>
      <c r="Q38" s="60">
        <v>69000</v>
      </c>
      <c r="R38" s="75" t="s">
        <v>164</v>
      </c>
      <c r="S38" s="84">
        <v>57750</v>
      </c>
      <c r="T38" s="69" t="s">
        <v>166</v>
      </c>
      <c r="U38" s="70">
        <v>131250</v>
      </c>
      <c r="V38" s="80" t="s">
        <v>138</v>
      </c>
      <c r="W38" s="78"/>
      <c r="X38" s="80" t="s">
        <v>102</v>
      </c>
      <c r="Y38" s="78"/>
      <c r="Z38" s="76" t="s">
        <v>103</v>
      </c>
      <c r="AA38" s="70"/>
      <c r="AB38" s="76" t="s">
        <v>174</v>
      </c>
      <c r="AC38" s="70"/>
    </row>
    <row r="39" spans="1:29" x14ac:dyDescent="0.2">
      <c r="A39" s="45">
        <v>38</v>
      </c>
      <c r="B39" s="42" t="s">
        <v>262</v>
      </c>
      <c r="C39" s="34" t="s">
        <v>263</v>
      </c>
      <c r="D39" s="32" t="s">
        <v>44</v>
      </c>
      <c r="E39" s="55">
        <f t="shared" si="1"/>
        <v>1112813</v>
      </c>
      <c r="F39" s="59" t="s">
        <v>141</v>
      </c>
      <c r="G39" s="65">
        <v>810000</v>
      </c>
      <c r="H39" s="61" t="s">
        <v>96</v>
      </c>
      <c r="I39" s="65"/>
      <c r="J39" s="69" t="s">
        <v>71</v>
      </c>
      <c r="K39" s="84">
        <v>45563</v>
      </c>
      <c r="L39" s="69" t="s">
        <v>117</v>
      </c>
      <c r="M39" s="84">
        <v>94500</v>
      </c>
      <c r="N39" s="61" t="s">
        <v>153</v>
      </c>
      <c r="O39" s="60"/>
      <c r="P39" s="89" t="s">
        <v>99</v>
      </c>
      <c r="Q39" s="60"/>
      <c r="R39" s="75" t="s">
        <v>162</v>
      </c>
      <c r="S39" s="84">
        <v>53250</v>
      </c>
      <c r="T39" s="69" t="s">
        <v>67</v>
      </c>
      <c r="U39" s="70">
        <v>34500</v>
      </c>
      <c r="V39" s="80" t="s">
        <v>138</v>
      </c>
      <c r="W39" s="78"/>
      <c r="X39" s="80" t="s">
        <v>102</v>
      </c>
      <c r="Y39" s="78"/>
      <c r="Z39" s="76" t="s">
        <v>139</v>
      </c>
      <c r="AA39" s="70"/>
      <c r="AB39" s="75" t="s">
        <v>140</v>
      </c>
      <c r="AC39" s="70">
        <v>75000</v>
      </c>
    </row>
    <row r="40" spans="1:29" x14ac:dyDescent="0.2">
      <c r="A40" s="45">
        <v>39</v>
      </c>
      <c r="B40" s="42" t="s">
        <v>296</v>
      </c>
      <c r="C40" s="34" t="s">
        <v>52</v>
      </c>
      <c r="D40" s="32" t="s">
        <v>44</v>
      </c>
      <c r="E40" s="55">
        <f t="shared" si="1"/>
        <v>1107376</v>
      </c>
      <c r="F40" s="59" t="s">
        <v>125</v>
      </c>
      <c r="G40" s="65">
        <v>45563</v>
      </c>
      <c r="H40" s="59" t="s">
        <v>107</v>
      </c>
      <c r="I40" s="65">
        <v>34500</v>
      </c>
      <c r="J40" s="69" t="s">
        <v>114</v>
      </c>
      <c r="K40" s="84">
        <v>510000</v>
      </c>
      <c r="L40" s="71" t="s">
        <v>126</v>
      </c>
      <c r="M40" s="84"/>
      <c r="N40" s="59" t="s">
        <v>128</v>
      </c>
      <c r="O40" s="60">
        <v>270000</v>
      </c>
      <c r="P40" s="88" t="s">
        <v>147</v>
      </c>
      <c r="Q40" s="60">
        <v>69000</v>
      </c>
      <c r="R40" s="75" t="s">
        <v>164</v>
      </c>
      <c r="S40" s="84">
        <v>57750</v>
      </c>
      <c r="T40" s="69" t="s">
        <v>297</v>
      </c>
      <c r="U40" s="70">
        <v>45563</v>
      </c>
      <c r="V40" s="80" t="s">
        <v>206</v>
      </c>
      <c r="W40" s="78"/>
      <c r="X40" s="80" t="s">
        <v>102</v>
      </c>
      <c r="Y40" s="78"/>
      <c r="Z40" s="76" t="s">
        <v>106</v>
      </c>
      <c r="AA40" s="70"/>
      <c r="AB40" s="75" t="s">
        <v>140</v>
      </c>
      <c r="AC40" s="70">
        <v>75000</v>
      </c>
    </row>
    <row r="41" spans="1:29" x14ac:dyDescent="0.2">
      <c r="A41" s="45">
        <v>40</v>
      </c>
      <c r="B41" s="42" t="s">
        <v>50</v>
      </c>
      <c r="C41" s="34" t="s">
        <v>81</v>
      </c>
      <c r="D41" s="32" t="s">
        <v>44</v>
      </c>
      <c r="E41" s="55">
        <f t="shared" si="1"/>
        <v>1100625</v>
      </c>
      <c r="F41" s="59" t="s">
        <v>141</v>
      </c>
      <c r="G41" s="65">
        <v>810000</v>
      </c>
      <c r="H41" s="59" t="s">
        <v>124</v>
      </c>
      <c r="I41" s="65">
        <v>94500</v>
      </c>
      <c r="J41" s="69" t="s">
        <v>113</v>
      </c>
      <c r="K41" s="84">
        <v>38625</v>
      </c>
      <c r="L41" s="69" t="s">
        <v>117</v>
      </c>
      <c r="M41" s="84">
        <v>94500</v>
      </c>
      <c r="N41" s="61" t="s">
        <v>69</v>
      </c>
      <c r="O41" s="60"/>
      <c r="P41" s="88" t="s">
        <v>143</v>
      </c>
      <c r="Q41" s="60">
        <v>28500</v>
      </c>
      <c r="R41" s="76" t="s">
        <v>160</v>
      </c>
      <c r="S41" s="84"/>
      <c r="T41" s="69" t="s">
        <v>67</v>
      </c>
      <c r="U41" s="70">
        <v>34500</v>
      </c>
      <c r="V41" s="80" t="s">
        <v>138</v>
      </c>
      <c r="W41" s="78"/>
      <c r="X41" s="80" t="s">
        <v>102</v>
      </c>
      <c r="Y41" s="78"/>
      <c r="Z41" s="76" t="s">
        <v>139</v>
      </c>
      <c r="AA41" s="70"/>
      <c r="AB41" s="76" t="s">
        <v>103</v>
      </c>
      <c r="AC41" s="70"/>
    </row>
    <row r="42" spans="1:29" x14ac:dyDescent="0.2">
      <c r="A42" s="45">
        <v>41</v>
      </c>
      <c r="B42" s="42" t="s">
        <v>76</v>
      </c>
      <c r="C42" s="34" t="s">
        <v>248</v>
      </c>
      <c r="D42" s="32" t="s">
        <v>44</v>
      </c>
      <c r="E42" s="55">
        <f t="shared" si="1"/>
        <v>1078500</v>
      </c>
      <c r="F42" s="59" t="s">
        <v>124</v>
      </c>
      <c r="G42" s="65">
        <v>94500</v>
      </c>
      <c r="H42" s="59" t="s">
        <v>134</v>
      </c>
      <c r="I42" s="65">
        <v>330000</v>
      </c>
      <c r="J42" s="69" t="s">
        <v>114</v>
      </c>
      <c r="K42" s="84">
        <v>510000</v>
      </c>
      <c r="L42" s="71" t="s">
        <v>126</v>
      </c>
      <c r="M42" s="84"/>
      <c r="N42" s="61" t="s">
        <v>135</v>
      </c>
      <c r="O42" s="60"/>
      <c r="P42" s="88" t="s">
        <v>147</v>
      </c>
      <c r="Q42" s="60">
        <v>69000</v>
      </c>
      <c r="R42" s="76" t="s">
        <v>129</v>
      </c>
      <c r="S42" s="84"/>
      <c r="T42" s="71" t="s">
        <v>167</v>
      </c>
      <c r="U42" s="70"/>
      <c r="V42" s="80" t="s">
        <v>206</v>
      </c>
      <c r="W42" s="78"/>
      <c r="X42" s="80" t="s">
        <v>102</v>
      </c>
      <c r="Y42" s="78"/>
      <c r="Z42" s="76" t="s">
        <v>131</v>
      </c>
      <c r="AA42" s="70"/>
      <c r="AB42" s="75" t="s">
        <v>140</v>
      </c>
      <c r="AC42" s="70">
        <v>75000</v>
      </c>
    </row>
    <row r="43" spans="1:29" x14ac:dyDescent="0.2">
      <c r="A43" s="45">
        <v>42</v>
      </c>
      <c r="B43" s="42" t="s">
        <v>241</v>
      </c>
      <c r="C43" s="34" t="s">
        <v>242</v>
      </c>
      <c r="D43" s="32" t="s">
        <v>44</v>
      </c>
      <c r="E43" s="55">
        <f t="shared" si="1"/>
        <v>1075313</v>
      </c>
      <c r="F43" s="59" t="s">
        <v>125</v>
      </c>
      <c r="G43" s="65">
        <v>45563</v>
      </c>
      <c r="H43" s="59" t="s">
        <v>134</v>
      </c>
      <c r="I43" s="65">
        <v>330000</v>
      </c>
      <c r="J43" s="69" t="s">
        <v>66</v>
      </c>
      <c r="K43" s="84">
        <v>225000</v>
      </c>
      <c r="L43" s="69" t="s">
        <v>70</v>
      </c>
      <c r="M43" s="84">
        <v>251250</v>
      </c>
      <c r="N43" s="61" t="s">
        <v>144</v>
      </c>
      <c r="O43" s="60"/>
      <c r="P43" s="88" t="s">
        <v>146</v>
      </c>
      <c r="Q43" s="60">
        <v>57750</v>
      </c>
      <c r="R43" s="75" t="s">
        <v>166</v>
      </c>
      <c r="S43" s="84">
        <v>131250</v>
      </c>
      <c r="T43" s="69" t="s">
        <v>67</v>
      </c>
      <c r="U43" s="70">
        <v>34500</v>
      </c>
      <c r="V43" s="80" t="s">
        <v>138</v>
      </c>
      <c r="W43" s="78"/>
      <c r="X43" s="80" t="s">
        <v>102</v>
      </c>
      <c r="Y43" s="78"/>
      <c r="Z43" s="76" t="s">
        <v>106</v>
      </c>
      <c r="AA43" s="70"/>
      <c r="AB43" s="76" t="s">
        <v>131</v>
      </c>
      <c r="AC43" s="70"/>
    </row>
    <row r="44" spans="1:29" x14ac:dyDescent="0.2">
      <c r="A44" s="45">
        <v>43</v>
      </c>
      <c r="B44" s="42" t="s">
        <v>250</v>
      </c>
      <c r="C44" s="34" t="s">
        <v>249</v>
      </c>
      <c r="D44" s="32" t="s">
        <v>44</v>
      </c>
      <c r="E44" s="55">
        <f t="shared" si="1"/>
        <v>1074000</v>
      </c>
      <c r="F44" s="59" t="s">
        <v>141</v>
      </c>
      <c r="G44" s="65">
        <v>810000</v>
      </c>
      <c r="H44" s="61" t="s">
        <v>108</v>
      </c>
      <c r="I44" s="65"/>
      <c r="J44" s="69" t="s">
        <v>215</v>
      </c>
      <c r="K44" s="84">
        <v>195000</v>
      </c>
      <c r="L44" s="71" t="s">
        <v>205</v>
      </c>
      <c r="M44" s="84"/>
      <c r="N44" s="61" t="s">
        <v>144</v>
      </c>
      <c r="O44" s="60"/>
      <c r="P44" s="88" t="s">
        <v>147</v>
      </c>
      <c r="Q44" s="60">
        <v>69000</v>
      </c>
      <c r="R44" s="76" t="s">
        <v>161</v>
      </c>
      <c r="S44" s="84"/>
      <c r="T44" s="71" t="s">
        <v>157</v>
      </c>
      <c r="U44" s="70"/>
      <c r="V44" s="80" t="s">
        <v>206</v>
      </c>
      <c r="W44" s="78"/>
      <c r="X44" s="80" t="s">
        <v>102</v>
      </c>
      <c r="Y44" s="78"/>
      <c r="Z44" s="76" t="s">
        <v>106</v>
      </c>
      <c r="AA44" s="70"/>
      <c r="AB44" s="76" t="s">
        <v>174</v>
      </c>
      <c r="AC44" s="70"/>
    </row>
    <row r="45" spans="1:29" x14ac:dyDescent="0.2">
      <c r="A45" s="45">
        <v>44</v>
      </c>
      <c r="B45" s="42" t="s">
        <v>302</v>
      </c>
      <c r="C45" s="34" t="s">
        <v>279</v>
      </c>
      <c r="D45" s="32" t="s">
        <v>246</v>
      </c>
      <c r="E45" s="55">
        <f t="shared" si="1"/>
        <v>1064250</v>
      </c>
      <c r="F45" s="59" t="s">
        <v>141</v>
      </c>
      <c r="G45" s="65">
        <v>810000</v>
      </c>
      <c r="H45" s="61" t="s">
        <v>108</v>
      </c>
      <c r="I45" s="65"/>
      <c r="J45" s="69" t="s">
        <v>215</v>
      </c>
      <c r="K45" s="84">
        <v>195000</v>
      </c>
      <c r="L45" s="69" t="s">
        <v>45</v>
      </c>
      <c r="M45" s="84">
        <v>34500</v>
      </c>
      <c r="N45" s="61" t="s">
        <v>135</v>
      </c>
      <c r="O45" s="60"/>
      <c r="P45" s="88" t="s">
        <v>145</v>
      </c>
      <c r="Q45" s="60">
        <v>24750</v>
      </c>
      <c r="R45" s="76" t="s">
        <v>155</v>
      </c>
      <c r="S45" s="84"/>
      <c r="T45" s="71" t="s">
        <v>157</v>
      </c>
      <c r="U45" s="70"/>
      <c r="V45" s="80" t="s">
        <v>138</v>
      </c>
      <c r="W45" s="78"/>
      <c r="X45" s="80" t="s">
        <v>102</v>
      </c>
      <c r="Y45" s="78"/>
      <c r="Z45" s="76" t="s">
        <v>139</v>
      </c>
      <c r="AA45" s="70"/>
      <c r="AB45" s="76" t="s">
        <v>106</v>
      </c>
      <c r="AC45" s="70"/>
    </row>
    <row r="46" spans="1:29" x14ac:dyDescent="0.2">
      <c r="A46" s="45">
        <v>45</v>
      </c>
      <c r="B46" s="42" t="s">
        <v>233</v>
      </c>
      <c r="C46" s="90" t="s">
        <v>234</v>
      </c>
      <c r="D46" s="33" t="s">
        <v>44</v>
      </c>
      <c r="E46" s="55">
        <f t="shared" si="1"/>
        <v>1042313</v>
      </c>
      <c r="F46" s="59" t="s">
        <v>124</v>
      </c>
      <c r="G46" s="65">
        <v>94500</v>
      </c>
      <c r="H46" s="59" t="s">
        <v>125</v>
      </c>
      <c r="I46" s="65">
        <v>45563</v>
      </c>
      <c r="J46" s="69" t="s">
        <v>114</v>
      </c>
      <c r="K46" s="84">
        <v>510000</v>
      </c>
      <c r="L46" s="69" t="s">
        <v>45</v>
      </c>
      <c r="M46" s="84">
        <v>34500</v>
      </c>
      <c r="N46" s="59" t="s">
        <v>145</v>
      </c>
      <c r="O46" s="60">
        <v>24750</v>
      </c>
      <c r="P46" s="88" t="s">
        <v>147</v>
      </c>
      <c r="Q46" s="60">
        <v>69000</v>
      </c>
      <c r="R46" s="75" t="s">
        <v>164</v>
      </c>
      <c r="S46" s="84">
        <v>57750</v>
      </c>
      <c r="T46" s="69" t="s">
        <v>166</v>
      </c>
      <c r="U46" s="70">
        <v>131250</v>
      </c>
      <c r="V46" s="80" t="s">
        <v>173</v>
      </c>
      <c r="W46" s="78"/>
      <c r="X46" s="80" t="s">
        <v>235</v>
      </c>
      <c r="Y46" s="78"/>
      <c r="Z46" s="76" t="s">
        <v>139</v>
      </c>
      <c r="AA46" s="70"/>
      <c r="AB46" s="75" t="s">
        <v>140</v>
      </c>
      <c r="AC46" s="70">
        <v>75000</v>
      </c>
    </row>
    <row r="47" spans="1:29" x14ac:dyDescent="0.2">
      <c r="A47" s="45">
        <v>46</v>
      </c>
      <c r="B47" s="42" t="s">
        <v>269</v>
      </c>
      <c r="C47" s="34" t="s">
        <v>271</v>
      </c>
      <c r="D47" s="32" t="s">
        <v>44</v>
      </c>
      <c r="E47" s="55">
        <f t="shared" si="1"/>
        <v>999000</v>
      </c>
      <c r="F47" s="59" t="s">
        <v>225</v>
      </c>
      <c r="G47" s="65">
        <v>57750</v>
      </c>
      <c r="H47" s="61" t="s">
        <v>109</v>
      </c>
      <c r="I47" s="65"/>
      <c r="J47" s="69" t="s">
        <v>114</v>
      </c>
      <c r="K47" s="84">
        <v>510000</v>
      </c>
      <c r="L47" s="69" t="s">
        <v>120</v>
      </c>
      <c r="M47" s="84">
        <v>131250</v>
      </c>
      <c r="N47" s="61" t="s">
        <v>135</v>
      </c>
      <c r="O47" s="60"/>
      <c r="P47" s="88" t="s">
        <v>136</v>
      </c>
      <c r="Q47" s="60">
        <v>225000</v>
      </c>
      <c r="R47" s="75" t="s">
        <v>167</v>
      </c>
      <c r="S47" s="84"/>
      <c r="T47" s="71" t="s">
        <v>129</v>
      </c>
      <c r="U47" s="70"/>
      <c r="V47" s="80" t="s">
        <v>206</v>
      </c>
      <c r="W47" s="78"/>
      <c r="X47" s="80" t="s">
        <v>272</v>
      </c>
      <c r="Y47" s="78"/>
      <c r="Z47" s="76" t="s">
        <v>131</v>
      </c>
      <c r="AA47" s="70"/>
      <c r="AB47" s="75" t="s">
        <v>140</v>
      </c>
      <c r="AC47" s="70">
        <v>75000</v>
      </c>
    </row>
    <row r="48" spans="1:29" x14ac:dyDescent="0.2">
      <c r="A48" s="45">
        <v>47</v>
      </c>
      <c r="B48" s="42" t="s">
        <v>216</v>
      </c>
      <c r="C48" s="34" t="s">
        <v>222</v>
      </c>
      <c r="D48" s="32" t="s">
        <v>44</v>
      </c>
      <c r="E48" s="55">
        <f t="shared" si="1"/>
        <v>993750</v>
      </c>
      <c r="F48" s="59" t="s">
        <v>124</v>
      </c>
      <c r="G48" s="65">
        <v>94500</v>
      </c>
      <c r="H48" s="59" t="s">
        <v>134</v>
      </c>
      <c r="I48" s="65">
        <v>330000</v>
      </c>
      <c r="J48" s="69" t="s">
        <v>114</v>
      </c>
      <c r="K48" s="84">
        <v>510000</v>
      </c>
      <c r="L48" s="69" t="s">
        <v>45</v>
      </c>
      <c r="M48" s="84">
        <v>34500</v>
      </c>
      <c r="N48" s="61" t="s">
        <v>135</v>
      </c>
      <c r="O48" s="60"/>
      <c r="P48" s="88" t="s">
        <v>145</v>
      </c>
      <c r="Q48" s="60">
        <v>24750</v>
      </c>
      <c r="R48" s="76" t="s">
        <v>157</v>
      </c>
      <c r="S48" s="84"/>
      <c r="T48" s="71" t="s">
        <v>163</v>
      </c>
      <c r="U48" s="70"/>
      <c r="V48" s="80" t="s">
        <v>138</v>
      </c>
      <c r="W48" s="78"/>
      <c r="X48" s="80" t="s">
        <v>102</v>
      </c>
      <c r="Y48" s="78"/>
      <c r="Z48" s="76" t="s">
        <v>106</v>
      </c>
      <c r="AA48" s="70"/>
      <c r="AB48" s="76" t="s">
        <v>174</v>
      </c>
      <c r="AC48" s="70"/>
    </row>
    <row r="49" spans="1:29" x14ac:dyDescent="0.2">
      <c r="A49" s="45">
        <v>48</v>
      </c>
      <c r="B49" s="42" t="s">
        <v>315</v>
      </c>
      <c r="C49" s="34" t="s">
        <v>316</v>
      </c>
      <c r="D49" s="32" t="s">
        <v>246</v>
      </c>
      <c r="E49" s="55">
        <f t="shared" si="1"/>
        <v>988313</v>
      </c>
      <c r="F49" s="59" t="s">
        <v>124</v>
      </c>
      <c r="G49" s="65">
        <v>94500</v>
      </c>
      <c r="H49" s="61" t="s">
        <v>96</v>
      </c>
      <c r="I49" s="65"/>
      <c r="J49" s="69" t="s">
        <v>114</v>
      </c>
      <c r="K49" s="84">
        <v>510000</v>
      </c>
      <c r="L49" s="69" t="s">
        <v>45</v>
      </c>
      <c r="M49" s="84">
        <v>34500</v>
      </c>
      <c r="N49" s="59" t="s">
        <v>143</v>
      </c>
      <c r="O49" s="60">
        <v>28500</v>
      </c>
      <c r="P49" s="88" t="s">
        <v>147</v>
      </c>
      <c r="Q49" s="60">
        <v>69000</v>
      </c>
      <c r="R49" s="75" t="s">
        <v>156</v>
      </c>
      <c r="S49" s="84">
        <v>45563</v>
      </c>
      <c r="T49" s="69" t="s">
        <v>166</v>
      </c>
      <c r="U49" s="70">
        <v>131250</v>
      </c>
      <c r="V49" s="80" t="s">
        <v>206</v>
      </c>
      <c r="W49" s="78"/>
      <c r="X49" s="80" t="s">
        <v>173</v>
      </c>
      <c r="Y49" s="78"/>
      <c r="Z49" s="76" t="s">
        <v>131</v>
      </c>
      <c r="AA49" s="70"/>
      <c r="AB49" s="75" t="s">
        <v>140</v>
      </c>
      <c r="AC49" s="70">
        <v>75000</v>
      </c>
    </row>
    <row r="50" spans="1:29" x14ac:dyDescent="0.2">
      <c r="A50" s="45">
        <v>49</v>
      </c>
      <c r="B50" s="42" t="s">
        <v>207</v>
      </c>
      <c r="C50" s="34" t="s">
        <v>208</v>
      </c>
      <c r="D50" s="32" t="s">
        <v>44</v>
      </c>
      <c r="E50" s="55">
        <f t="shared" si="1"/>
        <v>983063</v>
      </c>
      <c r="F50" s="59" t="s">
        <v>134</v>
      </c>
      <c r="G50" s="65">
        <v>330000</v>
      </c>
      <c r="H50" s="61" t="s">
        <v>108</v>
      </c>
      <c r="I50" s="65"/>
      <c r="J50" s="69" t="s">
        <v>114</v>
      </c>
      <c r="K50" s="84">
        <v>510000</v>
      </c>
      <c r="L50" s="69" t="s">
        <v>71</v>
      </c>
      <c r="M50" s="84">
        <v>45563</v>
      </c>
      <c r="N50" s="59" t="s">
        <v>143</v>
      </c>
      <c r="O50" s="60">
        <v>28500</v>
      </c>
      <c r="P50" s="88" t="s">
        <v>147</v>
      </c>
      <c r="Q50" s="60">
        <v>69000</v>
      </c>
      <c r="R50" s="76" t="s">
        <v>157</v>
      </c>
      <c r="S50" s="84"/>
      <c r="T50" s="71" t="s">
        <v>169</v>
      </c>
      <c r="U50" s="70"/>
      <c r="V50" s="80" t="s">
        <v>130</v>
      </c>
      <c r="W50" s="78"/>
      <c r="X50" s="80" t="s">
        <v>102</v>
      </c>
      <c r="Y50" s="78"/>
      <c r="Z50" s="76" t="s">
        <v>131</v>
      </c>
      <c r="AA50" s="70"/>
      <c r="AB50" s="76" t="s">
        <v>174</v>
      </c>
      <c r="AC50" s="70"/>
    </row>
    <row r="51" spans="1:29" x14ac:dyDescent="0.2">
      <c r="A51" s="45">
        <v>50</v>
      </c>
      <c r="B51" s="42" t="s">
        <v>273</v>
      </c>
      <c r="C51" s="34" t="s">
        <v>276</v>
      </c>
      <c r="D51" s="32" t="s">
        <v>44</v>
      </c>
      <c r="E51" s="55">
        <f t="shared" si="1"/>
        <v>974813</v>
      </c>
      <c r="F51" s="59" t="s">
        <v>124</v>
      </c>
      <c r="G51" s="65">
        <v>94500</v>
      </c>
      <c r="H51" s="59" t="s">
        <v>125</v>
      </c>
      <c r="I51" s="65">
        <v>45563</v>
      </c>
      <c r="J51" s="69" t="s">
        <v>114</v>
      </c>
      <c r="K51" s="84">
        <v>510000</v>
      </c>
      <c r="L51" s="69" t="s">
        <v>45</v>
      </c>
      <c r="M51" s="84">
        <v>34500</v>
      </c>
      <c r="N51" s="61" t="s">
        <v>144</v>
      </c>
      <c r="O51" s="60"/>
      <c r="P51" s="88" t="s">
        <v>147</v>
      </c>
      <c r="Q51" s="60">
        <v>69000</v>
      </c>
      <c r="R51" s="75" t="s">
        <v>164</v>
      </c>
      <c r="S51" s="84">
        <v>57750</v>
      </c>
      <c r="T51" s="69" t="s">
        <v>100</v>
      </c>
      <c r="U51" s="70">
        <v>69000</v>
      </c>
      <c r="V51" s="80" t="s">
        <v>138</v>
      </c>
      <c r="W51" s="78"/>
      <c r="X51" s="81" t="s">
        <v>171</v>
      </c>
      <c r="Y51" s="78">
        <v>94500</v>
      </c>
      <c r="Z51" s="76" t="s">
        <v>139</v>
      </c>
      <c r="AA51" s="70"/>
      <c r="AB51" s="76" t="s">
        <v>103</v>
      </c>
      <c r="AC51" s="70"/>
    </row>
    <row r="52" spans="1:29" x14ac:dyDescent="0.2">
      <c r="A52" s="45">
        <v>51</v>
      </c>
      <c r="B52" s="42" t="s">
        <v>220</v>
      </c>
      <c r="C52" s="34" t="s">
        <v>222</v>
      </c>
      <c r="D52" s="32" t="s">
        <v>44</v>
      </c>
      <c r="E52" s="55">
        <f t="shared" si="1"/>
        <v>953063</v>
      </c>
      <c r="F52" s="59" t="s">
        <v>125</v>
      </c>
      <c r="G52" s="65">
        <v>45563</v>
      </c>
      <c r="H52" s="61" t="s">
        <v>96</v>
      </c>
      <c r="I52" s="65"/>
      <c r="J52" s="69" t="s">
        <v>114</v>
      </c>
      <c r="K52" s="84">
        <v>510000</v>
      </c>
      <c r="L52" s="69" t="s">
        <v>45</v>
      </c>
      <c r="M52" s="84">
        <v>34500</v>
      </c>
      <c r="N52" s="59" t="s">
        <v>136</v>
      </c>
      <c r="O52" s="60">
        <v>225000</v>
      </c>
      <c r="P52" s="88" t="s">
        <v>147</v>
      </c>
      <c r="Q52" s="60">
        <v>69000</v>
      </c>
      <c r="R52" s="75" t="s">
        <v>100</v>
      </c>
      <c r="S52" s="84">
        <v>69000</v>
      </c>
      <c r="T52" s="71" t="s">
        <v>163</v>
      </c>
      <c r="U52" s="70"/>
      <c r="V52" s="80" t="s">
        <v>138</v>
      </c>
      <c r="W52" s="78"/>
      <c r="X52" s="80" t="s">
        <v>102</v>
      </c>
      <c r="Y52" s="78"/>
      <c r="Z52" s="76" t="s">
        <v>131</v>
      </c>
      <c r="AA52" s="70"/>
      <c r="AB52" s="76" t="s">
        <v>174</v>
      </c>
      <c r="AC52" s="70"/>
    </row>
    <row r="53" spans="1:29" x14ac:dyDescent="0.2">
      <c r="A53" s="45">
        <v>52</v>
      </c>
      <c r="B53" s="42" t="s">
        <v>62</v>
      </c>
      <c r="C53" s="34" t="s">
        <v>63</v>
      </c>
      <c r="D53" s="32" t="s">
        <v>44</v>
      </c>
      <c r="E53" s="55">
        <f t="shared" si="1"/>
        <v>948563</v>
      </c>
      <c r="F53" s="59" t="s">
        <v>124</v>
      </c>
      <c r="G53" s="65">
        <v>94500</v>
      </c>
      <c r="H53" s="59" t="s">
        <v>125</v>
      </c>
      <c r="I53" s="65">
        <v>45563</v>
      </c>
      <c r="J53" s="69" t="s">
        <v>114</v>
      </c>
      <c r="K53" s="84">
        <v>510000</v>
      </c>
      <c r="L53" s="69" t="s">
        <v>118</v>
      </c>
      <c r="M53" s="84">
        <v>34500</v>
      </c>
      <c r="N53" s="59" t="s">
        <v>142</v>
      </c>
      <c r="O53" s="60">
        <v>195000</v>
      </c>
      <c r="P53" s="88" t="s">
        <v>147</v>
      </c>
      <c r="Q53" s="60">
        <v>69000</v>
      </c>
      <c r="R53" s="76" t="s">
        <v>157</v>
      </c>
      <c r="S53" s="84"/>
      <c r="T53" s="71" t="s">
        <v>163</v>
      </c>
      <c r="U53" s="70"/>
      <c r="V53" s="80" t="s">
        <v>138</v>
      </c>
      <c r="W53" s="78"/>
      <c r="X53" s="80" t="s">
        <v>102</v>
      </c>
      <c r="Y53" s="78"/>
      <c r="Z53" s="76" t="s">
        <v>103</v>
      </c>
      <c r="AA53" s="70"/>
      <c r="AB53" s="76" t="s">
        <v>131</v>
      </c>
      <c r="AC53" s="70"/>
    </row>
    <row r="54" spans="1:29" x14ac:dyDescent="0.2">
      <c r="A54" s="45">
        <v>53</v>
      </c>
      <c r="B54" s="42" t="s">
        <v>258</v>
      </c>
      <c r="C54" s="34" t="s">
        <v>260</v>
      </c>
      <c r="D54" s="32" t="s">
        <v>246</v>
      </c>
      <c r="E54" s="55">
        <f t="shared" si="1"/>
        <v>948000</v>
      </c>
      <c r="F54" s="59" t="s">
        <v>141</v>
      </c>
      <c r="G54" s="65">
        <v>810000</v>
      </c>
      <c r="H54" s="59" t="s">
        <v>107</v>
      </c>
      <c r="I54" s="65">
        <v>34500</v>
      </c>
      <c r="J54" s="71" t="s">
        <v>126</v>
      </c>
      <c r="K54" s="84"/>
      <c r="L54" s="71" t="s">
        <v>115</v>
      </c>
      <c r="M54" s="84"/>
      <c r="N54" s="61" t="s">
        <v>127</v>
      </c>
      <c r="O54" s="60"/>
      <c r="P54" s="88" t="s">
        <v>143</v>
      </c>
      <c r="Q54" s="60">
        <v>28500</v>
      </c>
      <c r="R54" s="76" t="s">
        <v>168</v>
      </c>
      <c r="S54" s="84"/>
      <c r="T54" s="71" t="s">
        <v>169</v>
      </c>
      <c r="U54" s="70"/>
      <c r="V54" s="80" t="s">
        <v>138</v>
      </c>
      <c r="W54" s="78"/>
      <c r="X54" s="80" t="s">
        <v>247</v>
      </c>
      <c r="Y54" s="78"/>
      <c r="Z54" s="76" t="s">
        <v>131</v>
      </c>
      <c r="AA54" s="70"/>
      <c r="AB54" s="75" t="s">
        <v>140</v>
      </c>
      <c r="AC54" s="70">
        <v>75000</v>
      </c>
    </row>
    <row r="55" spans="1:29" x14ac:dyDescent="0.2">
      <c r="A55" s="45">
        <v>54</v>
      </c>
      <c r="B55" s="42" t="s">
        <v>49</v>
      </c>
      <c r="C55" s="34" t="s">
        <v>318</v>
      </c>
      <c r="D55" s="32" t="s">
        <v>44</v>
      </c>
      <c r="E55" s="55">
        <f t="shared" si="1"/>
        <v>879376</v>
      </c>
      <c r="F55" s="59" t="s">
        <v>107</v>
      </c>
      <c r="G55" s="65">
        <v>34500</v>
      </c>
      <c r="H55" s="59" t="s">
        <v>134</v>
      </c>
      <c r="I55" s="65">
        <v>330000</v>
      </c>
      <c r="J55" s="69" t="s">
        <v>71</v>
      </c>
      <c r="K55" s="84">
        <v>45563</v>
      </c>
      <c r="L55" s="69" t="s">
        <v>70</v>
      </c>
      <c r="M55" s="84">
        <v>251250</v>
      </c>
      <c r="N55" s="59" t="s">
        <v>143</v>
      </c>
      <c r="O55" s="60">
        <v>28500</v>
      </c>
      <c r="P55" s="88" t="s">
        <v>147</v>
      </c>
      <c r="Q55" s="60">
        <v>69000</v>
      </c>
      <c r="R55" s="75" t="s">
        <v>154</v>
      </c>
      <c r="S55" s="84">
        <v>45563</v>
      </c>
      <c r="T55" s="71" t="s">
        <v>157</v>
      </c>
      <c r="U55" s="70"/>
      <c r="V55" s="80" t="s">
        <v>172</v>
      </c>
      <c r="W55" s="78"/>
      <c r="X55" s="80" t="s">
        <v>102</v>
      </c>
      <c r="Y55" s="78"/>
      <c r="Z55" s="76" t="s">
        <v>106</v>
      </c>
      <c r="AA55" s="70"/>
      <c r="AB55" s="75" t="s">
        <v>140</v>
      </c>
      <c r="AC55" s="70">
        <v>75000</v>
      </c>
    </row>
    <row r="56" spans="1:29" x14ac:dyDescent="0.2">
      <c r="A56" s="45">
        <v>55</v>
      </c>
      <c r="B56" s="42" t="s">
        <v>287</v>
      </c>
      <c r="C56" s="34" t="s">
        <v>288</v>
      </c>
      <c r="D56" s="32" t="s">
        <v>44</v>
      </c>
      <c r="E56" s="55">
        <f t="shared" si="1"/>
        <v>877500</v>
      </c>
      <c r="F56" s="59" t="s">
        <v>124</v>
      </c>
      <c r="G56" s="65">
        <v>94500</v>
      </c>
      <c r="H56" s="59" t="s">
        <v>134</v>
      </c>
      <c r="I56" s="65">
        <v>330000</v>
      </c>
      <c r="J56" s="69" t="s">
        <v>117</v>
      </c>
      <c r="K56" s="84">
        <v>94500</v>
      </c>
      <c r="L56" s="71" t="s">
        <v>223</v>
      </c>
      <c r="M56" s="84"/>
      <c r="N56" s="61" t="s">
        <v>144</v>
      </c>
      <c r="O56" s="60"/>
      <c r="P56" s="88" t="s">
        <v>146</v>
      </c>
      <c r="Q56" s="60">
        <v>57750</v>
      </c>
      <c r="R56" s="75" t="s">
        <v>166</v>
      </c>
      <c r="S56" s="84">
        <v>131250</v>
      </c>
      <c r="T56" s="71" t="s">
        <v>101</v>
      </c>
      <c r="U56" s="70"/>
      <c r="V56" s="80" t="s">
        <v>130</v>
      </c>
      <c r="W56" s="78"/>
      <c r="X56" s="81" t="s">
        <v>171</v>
      </c>
      <c r="Y56" s="78">
        <v>94500</v>
      </c>
      <c r="Z56" s="76" t="s">
        <v>106</v>
      </c>
      <c r="AA56" s="70"/>
      <c r="AB56" s="75" t="s">
        <v>140</v>
      </c>
      <c r="AC56" s="70">
        <v>75000</v>
      </c>
    </row>
    <row r="57" spans="1:29" x14ac:dyDescent="0.2">
      <c r="A57" s="45">
        <v>56</v>
      </c>
      <c r="B57" s="42" t="s">
        <v>295</v>
      </c>
      <c r="C57" s="34" t="s">
        <v>52</v>
      </c>
      <c r="D57" s="32" t="s">
        <v>44</v>
      </c>
      <c r="E57" s="55">
        <f t="shared" si="1"/>
        <v>851813</v>
      </c>
      <c r="F57" s="59" t="s">
        <v>124</v>
      </c>
      <c r="G57" s="65">
        <v>94500</v>
      </c>
      <c r="H57" s="61" t="s">
        <v>96</v>
      </c>
      <c r="I57" s="65"/>
      <c r="J57" s="69" t="s">
        <v>114</v>
      </c>
      <c r="K57" s="84">
        <v>510000</v>
      </c>
      <c r="L57" s="71" t="s">
        <v>126</v>
      </c>
      <c r="M57" s="84"/>
      <c r="N57" s="61" t="s">
        <v>127</v>
      </c>
      <c r="O57" s="60"/>
      <c r="P57" s="88" t="s">
        <v>147</v>
      </c>
      <c r="Q57" s="60">
        <v>69000</v>
      </c>
      <c r="R57" s="75" t="s">
        <v>164</v>
      </c>
      <c r="S57" s="84">
        <v>57750</v>
      </c>
      <c r="T57" s="69" t="s">
        <v>297</v>
      </c>
      <c r="U57" s="70">
        <v>45563</v>
      </c>
      <c r="V57" s="80" t="s">
        <v>206</v>
      </c>
      <c r="W57" s="78"/>
      <c r="X57" s="80" t="s">
        <v>102</v>
      </c>
      <c r="Y57" s="78"/>
      <c r="Z57" s="76" t="s">
        <v>106</v>
      </c>
      <c r="AA57" s="70"/>
      <c r="AB57" s="75" t="s">
        <v>140</v>
      </c>
      <c r="AC57" s="70">
        <v>75000</v>
      </c>
    </row>
    <row r="58" spans="1:29" x14ac:dyDescent="0.2">
      <c r="A58" s="45">
        <v>57</v>
      </c>
      <c r="B58" s="42" t="s">
        <v>82</v>
      </c>
      <c r="C58" s="34" t="s">
        <v>298</v>
      </c>
      <c r="D58" s="32" t="s">
        <v>44</v>
      </c>
      <c r="E58" s="55">
        <f t="shared" si="1"/>
        <v>832313</v>
      </c>
      <c r="F58" s="59" t="s">
        <v>125</v>
      </c>
      <c r="G58" s="65">
        <v>45563</v>
      </c>
      <c r="H58" s="59" t="s">
        <v>134</v>
      </c>
      <c r="I58" s="65">
        <v>330000</v>
      </c>
      <c r="J58" s="69" t="s">
        <v>215</v>
      </c>
      <c r="K58" s="84">
        <v>195000</v>
      </c>
      <c r="L58" s="69" t="s">
        <v>117</v>
      </c>
      <c r="M58" s="84">
        <v>94500</v>
      </c>
      <c r="N58" s="61" t="s">
        <v>135</v>
      </c>
      <c r="O58" s="60"/>
      <c r="P58" s="88" t="s">
        <v>146</v>
      </c>
      <c r="Q58" s="60">
        <v>57750</v>
      </c>
      <c r="R58" s="76" t="s">
        <v>155</v>
      </c>
      <c r="S58" s="84"/>
      <c r="T58" s="69" t="s">
        <v>67</v>
      </c>
      <c r="U58" s="70">
        <v>34500</v>
      </c>
      <c r="V58" s="80" t="s">
        <v>172</v>
      </c>
      <c r="W58" s="78"/>
      <c r="X58" s="80" t="s">
        <v>130</v>
      </c>
      <c r="Y58" s="78"/>
      <c r="Z58" s="76" t="s">
        <v>106</v>
      </c>
      <c r="AA58" s="70"/>
      <c r="AB58" s="75" t="s">
        <v>140</v>
      </c>
      <c r="AC58" s="70">
        <v>75000</v>
      </c>
    </row>
    <row r="59" spans="1:29" x14ac:dyDescent="0.2">
      <c r="A59" s="45">
        <v>58</v>
      </c>
      <c r="B59" s="42" t="s">
        <v>310</v>
      </c>
      <c r="C59" s="34" t="s">
        <v>314</v>
      </c>
      <c r="D59" s="32" t="s">
        <v>44</v>
      </c>
      <c r="E59" s="55">
        <f t="shared" si="1"/>
        <v>828750</v>
      </c>
      <c r="F59" s="59" t="s">
        <v>124</v>
      </c>
      <c r="G59" s="65">
        <v>94500</v>
      </c>
      <c r="H59" s="59" t="s">
        <v>134</v>
      </c>
      <c r="I59" s="65">
        <v>330000</v>
      </c>
      <c r="J59" s="69" t="s">
        <v>118</v>
      </c>
      <c r="K59" s="84">
        <v>34500</v>
      </c>
      <c r="L59" s="71" t="s">
        <v>126</v>
      </c>
      <c r="M59" s="84"/>
      <c r="N59" s="61" t="s">
        <v>144</v>
      </c>
      <c r="O59" s="60"/>
      <c r="P59" s="88" t="s">
        <v>147</v>
      </c>
      <c r="Q59" s="60">
        <v>69000</v>
      </c>
      <c r="R59" s="75" t="s">
        <v>166</v>
      </c>
      <c r="S59" s="84">
        <v>131250</v>
      </c>
      <c r="T59" s="71" t="s">
        <v>163</v>
      </c>
      <c r="U59" s="70"/>
      <c r="V59" s="80" t="s">
        <v>206</v>
      </c>
      <c r="W59" s="78"/>
      <c r="X59" s="81" t="s">
        <v>171</v>
      </c>
      <c r="Y59" s="78">
        <v>94500</v>
      </c>
      <c r="Z59" s="76" t="s">
        <v>131</v>
      </c>
      <c r="AA59" s="70"/>
      <c r="AB59" s="75" t="s">
        <v>140</v>
      </c>
      <c r="AC59" s="70">
        <v>75000</v>
      </c>
    </row>
    <row r="60" spans="1:29" x14ac:dyDescent="0.2">
      <c r="A60" s="45">
        <v>59</v>
      </c>
      <c r="B60" s="42" t="s">
        <v>84</v>
      </c>
      <c r="C60" s="34" t="s">
        <v>85</v>
      </c>
      <c r="D60" s="32" t="s">
        <v>44</v>
      </c>
      <c r="E60" s="55">
        <f t="shared" si="1"/>
        <v>828563</v>
      </c>
      <c r="F60" s="59" t="s">
        <v>125</v>
      </c>
      <c r="G60" s="65">
        <v>45563</v>
      </c>
      <c r="H60" s="61" t="s">
        <v>96</v>
      </c>
      <c r="I60" s="65"/>
      <c r="J60" s="69" t="s">
        <v>114</v>
      </c>
      <c r="K60" s="84">
        <v>510000</v>
      </c>
      <c r="L60" s="69" t="s">
        <v>45</v>
      </c>
      <c r="M60" s="84">
        <v>34500</v>
      </c>
      <c r="N60" s="61" t="s">
        <v>69</v>
      </c>
      <c r="O60" s="60"/>
      <c r="P60" s="88" t="s">
        <v>147</v>
      </c>
      <c r="Q60" s="60">
        <v>69000</v>
      </c>
      <c r="R60" s="76" t="s">
        <v>157</v>
      </c>
      <c r="S60" s="84"/>
      <c r="T60" s="71" t="s">
        <v>163</v>
      </c>
      <c r="U60" s="70"/>
      <c r="V60" s="80" t="s">
        <v>206</v>
      </c>
      <c r="W60" s="78"/>
      <c r="X60" s="81" t="s">
        <v>171</v>
      </c>
      <c r="Y60" s="78">
        <v>94500</v>
      </c>
      <c r="Z60" s="76" t="s">
        <v>106</v>
      </c>
      <c r="AA60" s="70"/>
      <c r="AB60" s="75" t="s">
        <v>140</v>
      </c>
      <c r="AC60" s="70">
        <v>75000</v>
      </c>
    </row>
    <row r="61" spans="1:29" x14ac:dyDescent="0.2">
      <c r="A61" s="45">
        <v>60</v>
      </c>
      <c r="B61" s="42" t="s">
        <v>282</v>
      </c>
      <c r="C61" s="34" t="s">
        <v>283</v>
      </c>
      <c r="D61" s="32" t="s">
        <v>44</v>
      </c>
      <c r="E61" s="55">
        <f t="shared" si="1"/>
        <v>808500</v>
      </c>
      <c r="F61" s="59" t="s">
        <v>124</v>
      </c>
      <c r="G61" s="65">
        <v>94500</v>
      </c>
      <c r="H61" s="61" t="s">
        <v>96</v>
      </c>
      <c r="I61" s="65"/>
      <c r="J61" s="69" t="s">
        <v>114</v>
      </c>
      <c r="K61" s="84">
        <v>510000</v>
      </c>
      <c r="L61" s="69" t="s">
        <v>97</v>
      </c>
      <c r="M61" s="84">
        <v>94500</v>
      </c>
      <c r="N61" s="61" t="s">
        <v>135</v>
      </c>
      <c r="O61" s="60"/>
      <c r="P61" s="61" t="s">
        <v>284</v>
      </c>
      <c r="Q61" s="60"/>
      <c r="R61" s="75" t="s">
        <v>67</v>
      </c>
      <c r="S61" s="84">
        <v>34500</v>
      </c>
      <c r="T61" s="71" t="s">
        <v>137</v>
      </c>
      <c r="U61" s="70"/>
      <c r="V61" s="80" t="s">
        <v>138</v>
      </c>
      <c r="W61" s="78"/>
      <c r="X61" s="80" t="s">
        <v>102</v>
      </c>
      <c r="Y61" s="78"/>
      <c r="Z61" s="76" t="s">
        <v>103</v>
      </c>
      <c r="AA61" s="70"/>
      <c r="AB61" s="75" t="s">
        <v>140</v>
      </c>
      <c r="AC61" s="70">
        <v>75000</v>
      </c>
    </row>
    <row r="62" spans="1:29" x14ac:dyDescent="0.2">
      <c r="A62" s="45">
        <v>61</v>
      </c>
      <c r="B62" s="42" t="s">
        <v>291</v>
      </c>
      <c r="C62" s="34" t="s">
        <v>292</v>
      </c>
      <c r="D62" s="32" t="s">
        <v>44</v>
      </c>
      <c r="E62" s="55">
        <f t="shared" si="1"/>
        <v>801563</v>
      </c>
      <c r="F62" s="59" t="s">
        <v>124</v>
      </c>
      <c r="G62" s="65">
        <v>94500</v>
      </c>
      <c r="H62" s="59" t="s">
        <v>125</v>
      </c>
      <c r="I62" s="65">
        <v>45563</v>
      </c>
      <c r="J62" s="69" t="s">
        <v>114</v>
      </c>
      <c r="K62" s="84">
        <v>510000</v>
      </c>
      <c r="L62" s="71" t="s">
        <v>126</v>
      </c>
      <c r="M62" s="84"/>
      <c r="N62" s="59" t="s">
        <v>145</v>
      </c>
      <c r="O62" s="60">
        <v>24750</v>
      </c>
      <c r="P62" s="88" t="s">
        <v>146</v>
      </c>
      <c r="Q62" s="60">
        <v>57750</v>
      </c>
      <c r="R62" s="76" t="s">
        <v>155</v>
      </c>
      <c r="S62" s="84"/>
      <c r="T62" s="69" t="s">
        <v>100</v>
      </c>
      <c r="U62" s="70">
        <v>69000</v>
      </c>
      <c r="V62" s="80" t="s">
        <v>206</v>
      </c>
      <c r="W62" s="78"/>
      <c r="X62" s="80" t="s">
        <v>130</v>
      </c>
      <c r="Y62" s="78"/>
      <c r="Z62" s="76" t="s">
        <v>139</v>
      </c>
      <c r="AA62" s="70"/>
      <c r="AB62" s="76" t="s">
        <v>103</v>
      </c>
      <c r="AC62" s="70"/>
    </row>
    <row r="63" spans="1:29" x14ac:dyDescent="0.2">
      <c r="A63" s="45">
        <v>62</v>
      </c>
      <c r="B63" s="42" t="s">
        <v>218</v>
      </c>
      <c r="C63" s="34" t="s">
        <v>222</v>
      </c>
      <c r="D63" s="32" t="s">
        <v>44</v>
      </c>
      <c r="E63" s="55">
        <f t="shared" si="1"/>
        <v>782250</v>
      </c>
      <c r="F63" s="59" t="s">
        <v>124</v>
      </c>
      <c r="G63" s="65">
        <v>94500</v>
      </c>
      <c r="H63" s="61" t="s">
        <v>108</v>
      </c>
      <c r="I63" s="65"/>
      <c r="J63" s="69" t="s">
        <v>215</v>
      </c>
      <c r="K63" s="84">
        <v>195000</v>
      </c>
      <c r="L63" s="71" t="s">
        <v>223</v>
      </c>
      <c r="M63" s="84"/>
      <c r="N63" s="59" t="s">
        <v>148</v>
      </c>
      <c r="O63" s="60">
        <v>165000</v>
      </c>
      <c r="P63" s="88" t="s">
        <v>128</v>
      </c>
      <c r="Q63" s="60">
        <v>270000</v>
      </c>
      <c r="R63" s="75" t="s">
        <v>164</v>
      </c>
      <c r="S63" s="84">
        <v>57750</v>
      </c>
      <c r="T63" s="71" t="s">
        <v>163</v>
      </c>
      <c r="U63" s="70"/>
      <c r="V63" s="80" t="s">
        <v>173</v>
      </c>
      <c r="W63" s="78"/>
      <c r="X63" s="80" t="s">
        <v>130</v>
      </c>
      <c r="Y63" s="78"/>
      <c r="Z63" s="76" t="s">
        <v>106</v>
      </c>
      <c r="AA63" s="70"/>
      <c r="AB63" s="76" t="s">
        <v>174</v>
      </c>
      <c r="AC63" s="70"/>
    </row>
    <row r="64" spans="1:29" x14ac:dyDescent="0.2">
      <c r="A64" s="45">
        <v>63</v>
      </c>
      <c r="B64" s="42" t="s">
        <v>289</v>
      </c>
      <c r="C64" s="34" t="s">
        <v>290</v>
      </c>
      <c r="D64" s="32" t="s">
        <v>44</v>
      </c>
      <c r="E64" s="55">
        <f t="shared" si="1"/>
        <v>728626</v>
      </c>
      <c r="F64" s="59" t="s">
        <v>125</v>
      </c>
      <c r="G64" s="65">
        <v>45563</v>
      </c>
      <c r="H64" s="59" t="s">
        <v>134</v>
      </c>
      <c r="I64" s="65">
        <v>330000</v>
      </c>
      <c r="J64" s="71" t="s">
        <v>205</v>
      </c>
      <c r="K64" s="84"/>
      <c r="L64" s="69" t="s">
        <v>71</v>
      </c>
      <c r="M64" s="84">
        <v>45563</v>
      </c>
      <c r="N64" s="61" t="s">
        <v>69</v>
      </c>
      <c r="O64" s="60"/>
      <c r="P64" s="88" t="s">
        <v>147</v>
      </c>
      <c r="Q64" s="60">
        <v>69000</v>
      </c>
      <c r="R64" s="76" t="s">
        <v>72</v>
      </c>
      <c r="S64" s="84"/>
      <c r="T64" s="69" t="s">
        <v>100</v>
      </c>
      <c r="U64" s="70">
        <v>69000</v>
      </c>
      <c r="V64" s="80" t="s">
        <v>138</v>
      </c>
      <c r="W64" s="78"/>
      <c r="X64" s="81" t="s">
        <v>171</v>
      </c>
      <c r="Y64" s="78">
        <v>94500</v>
      </c>
      <c r="Z64" s="76" t="s">
        <v>106</v>
      </c>
      <c r="AA64" s="70"/>
      <c r="AB64" s="75" t="s">
        <v>140</v>
      </c>
      <c r="AC64" s="70">
        <v>75000</v>
      </c>
    </row>
    <row r="65" spans="1:29" x14ac:dyDescent="0.2">
      <c r="A65" s="45">
        <v>64</v>
      </c>
      <c r="B65" s="42" t="s">
        <v>209</v>
      </c>
      <c r="C65" s="34" t="s">
        <v>210</v>
      </c>
      <c r="D65" s="32" t="s">
        <v>44</v>
      </c>
      <c r="E65" s="55">
        <f t="shared" si="1"/>
        <v>723000</v>
      </c>
      <c r="F65" s="59" t="s">
        <v>124</v>
      </c>
      <c r="G65" s="65">
        <v>94500</v>
      </c>
      <c r="H65" s="59" t="s">
        <v>134</v>
      </c>
      <c r="I65" s="65">
        <v>330000</v>
      </c>
      <c r="J65" s="69" t="s">
        <v>118</v>
      </c>
      <c r="K65" s="84">
        <v>34500</v>
      </c>
      <c r="L65" s="69" t="s">
        <v>45</v>
      </c>
      <c r="M65" s="84">
        <v>34500</v>
      </c>
      <c r="N65" s="61" t="s">
        <v>69</v>
      </c>
      <c r="O65" s="60"/>
      <c r="P65" s="88" t="s">
        <v>142</v>
      </c>
      <c r="Q65" s="60">
        <v>195000</v>
      </c>
      <c r="R65" s="76" t="s">
        <v>157</v>
      </c>
      <c r="S65" s="84"/>
      <c r="T65" s="69" t="s">
        <v>67</v>
      </c>
      <c r="U65" s="70">
        <v>34500</v>
      </c>
      <c r="V65" s="80" t="s">
        <v>138</v>
      </c>
      <c r="W65" s="78"/>
      <c r="X65" s="80" t="s">
        <v>102</v>
      </c>
      <c r="Y65" s="78"/>
      <c r="Z65" s="76" t="s">
        <v>106</v>
      </c>
      <c r="AA65" s="70"/>
      <c r="AB65" s="76" t="s">
        <v>131</v>
      </c>
      <c r="AC65" s="70"/>
    </row>
    <row r="66" spans="1:29" x14ac:dyDescent="0.2">
      <c r="A66" s="45">
        <v>65</v>
      </c>
      <c r="B66" s="42" t="s">
        <v>51</v>
      </c>
      <c r="C66" s="34" t="s">
        <v>301</v>
      </c>
      <c r="D66" s="32" t="s">
        <v>44</v>
      </c>
      <c r="E66" s="55">
        <f t="shared" ref="E66:E80" si="2">SUM(G66)+I66+K66+M66+O66+Q66+S66+U66+W66+Y66+AA66+AC66</f>
        <v>680626</v>
      </c>
      <c r="F66" s="59" t="s">
        <v>124</v>
      </c>
      <c r="G66" s="65">
        <v>94500</v>
      </c>
      <c r="H66" s="59" t="s">
        <v>125</v>
      </c>
      <c r="I66" s="65">
        <v>45563</v>
      </c>
      <c r="J66" s="69" t="s">
        <v>215</v>
      </c>
      <c r="K66" s="84">
        <v>195000</v>
      </c>
      <c r="L66" s="69" t="s">
        <v>71</v>
      </c>
      <c r="M66" s="84">
        <v>45563</v>
      </c>
      <c r="N66" s="59" t="s">
        <v>145</v>
      </c>
      <c r="O66" s="60">
        <v>24750</v>
      </c>
      <c r="P66" s="88" t="s">
        <v>147</v>
      </c>
      <c r="Q66" s="60">
        <v>69000</v>
      </c>
      <c r="R66" s="75" t="s">
        <v>166</v>
      </c>
      <c r="S66" s="84">
        <v>131250</v>
      </c>
      <c r="T66" s="71" t="s">
        <v>163</v>
      </c>
      <c r="U66" s="70"/>
      <c r="V66" s="80" t="s">
        <v>247</v>
      </c>
      <c r="W66" s="78"/>
      <c r="X66" s="80" t="s">
        <v>102</v>
      </c>
      <c r="Y66" s="78"/>
      <c r="Z66" s="76" t="s">
        <v>103</v>
      </c>
      <c r="AA66" s="70"/>
      <c r="AB66" s="75" t="s">
        <v>140</v>
      </c>
      <c r="AC66" s="70">
        <v>75000</v>
      </c>
    </row>
    <row r="67" spans="1:29" x14ac:dyDescent="0.2">
      <c r="A67" s="45">
        <v>66</v>
      </c>
      <c r="B67" s="42" t="s">
        <v>244</v>
      </c>
      <c r="C67" s="34" t="s">
        <v>245</v>
      </c>
      <c r="D67" s="32" t="s">
        <v>246</v>
      </c>
      <c r="E67" s="55">
        <f t="shared" si="2"/>
        <v>663750</v>
      </c>
      <c r="F67" s="59" t="s">
        <v>107</v>
      </c>
      <c r="G67" s="65">
        <v>34500</v>
      </c>
      <c r="H67" s="61" t="s">
        <v>108</v>
      </c>
      <c r="I67" s="65"/>
      <c r="J67" s="69" t="s">
        <v>66</v>
      </c>
      <c r="K67" s="84">
        <v>225000</v>
      </c>
      <c r="L67" s="69" t="s">
        <v>70</v>
      </c>
      <c r="M67" s="84">
        <v>251250</v>
      </c>
      <c r="N67" s="61" t="s">
        <v>99</v>
      </c>
      <c r="O67" s="60"/>
      <c r="P67" s="88" t="s">
        <v>145</v>
      </c>
      <c r="Q67" s="60">
        <v>24750</v>
      </c>
      <c r="R67" s="75" t="s">
        <v>162</v>
      </c>
      <c r="S67" s="84">
        <v>53250</v>
      </c>
      <c r="T67" s="71" t="s">
        <v>129</v>
      </c>
      <c r="U67" s="70"/>
      <c r="V67" s="80" t="s">
        <v>247</v>
      </c>
      <c r="W67" s="78"/>
      <c r="X67" s="80" t="s">
        <v>172</v>
      </c>
      <c r="Y67" s="78"/>
      <c r="Z67" s="76" t="s">
        <v>139</v>
      </c>
      <c r="AA67" s="70"/>
      <c r="AB67" s="75" t="s">
        <v>140</v>
      </c>
      <c r="AC67" s="70">
        <v>75000</v>
      </c>
    </row>
    <row r="68" spans="1:29" x14ac:dyDescent="0.2">
      <c r="A68" s="45">
        <v>67</v>
      </c>
      <c r="B68" s="42" t="s">
        <v>232</v>
      </c>
      <c r="C68" s="34" t="s">
        <v>231</v>
      </c>
      <c r="D68" s="32" t="s">
        <v>44</v>
      </c>
      <c r="E68" s="55">
        <f t="shared" si="2"/>
        <v>588376</v>
      </c>
      <c r="F68" s="59" t="s">
        <v>125</v>
      </c>
      <c r="G68" s="65">
        <v>45563</v>
      </c>
      <c r="H68" s="59" t="s">
        <v>134</v>
      </c>
      <c r="I68" s="65">
        <v>330000</v>
      </c>
      <c r="J68" s="69" t="s">
        <v>71</v>
      </c>
      <c r="K68" s="84">
        <v>45563</v>
      </c>
      <c r="L68" s="71" t="s">
        <v>126</v>
      </c>
      <c r="M68" s="84"/>
      <c r="N68" s="61" t="s">
        <v>127</v>
      </c>
      <c r="O68" s="60"/>
      <c r="P68" s="88" t="s">
        <v>146</v>
      </c>
      <c r="Q68" s="60">
        <v>57750</v>
      </c>
      <c r="R68" s="76" t="s">
        <v>161</v>
      </c>
      <c r="S68" s="84"/>
      <c r="T68" s="69" t="s">
        <v>67</v>
      </c>
      <c r="U68" s="70">
        <v>34500</v>
      </c>
      <c r="V68" s="80" t="s">
        <v>138</v>
      </c>
      <c r="W68" s="78"/>
      <c r="X68" s="80" t="s">
        <v>102</v>
      </c>
      <c r="Y68" s="78"/>
      <c r="Z68" s="76" t="s">
        <v>131</v>
      </c>
      <c r="AA68" s="70"/>
      <c r="AB68" s="75" t="s">
        <v>140</v>
      </c>
      <c r="AC68" s="70">
        <v>75000</v>
      </c>
    </row>
    <row r="69" spans="1:29" x14ac:dyDescent="0.2">
      <c r="A69" s="45">
        <v>68</v>
      </c>
      <c r="B69" s="42" t="s">
        <v>274</v>
      </c>
      <c r="C69" s="34" t="s">
        <v>276</v>
      </c>
      <c r="D69" s="32" t="s">
        <v>44</v>
      </c>
      <c r="E69" s="55">
        <f t="shared" si="2"/>
        <v>582750</v>
      </c>
      <c r="F69" s="59" t="s">
        <v>134</v>
      </c>
      <c r="G69" s="65">
        <v>330000</v>
      </c>
      <c r="H69" s="61" t="s">
        <v>108</v>
      </c>
      <c r="I69" s="65"/>
      <c r="J69" s="69" t="s">
        <v>215</v>
      </c>
      <c r="K69" s="84">
        <v>195000</v>
      </c>
      <c r="L69" s="71" t="s">
        <v>212</v>
      </c>
      <c r="M69" s="84"/>
      <c r="N69" s="61" t="s">
        <v>69</v>
      </c>
      <c r="O69" s="60"/>
      <c r="P69" s="88" t="s">
        <v>146</v>
      </c>
      <c r="Q69" s="60">
        <v>57750</v>
      </c>
      <c r="R69" s="76" t="s">
        <v>161</v>
      </c>
      <c r="S69" s="84"/>
      <c r="T69" s="71" t="s">
        <v>157</v>
      </c>
      <c r="U69" s="70"/>
      <c r="V69" s="80" t="s">
        <v>206</v>
      </c>
      <c r="W69" s="78"/>
      <c r="X69" s="80" t="s">
        <v>102</v>
      </c>
      <c r="Y69" s="78"/>
      <c r="Z69" s="76" t="s">
        <v>131</v>
      </c>
      <c r="AA69" s="70"/>
      <c r="AB69" s="76" t="s">
        <v>174</v>
      </c>
      <c r="AC69" s="70"/>
    </row>
    <row r="70" spans="1:29" x14ac:dyDescent="0.2">
      <c r="A70" s="45">
        <v>69</v>
      </c>
      <c r="B70" s="42" t="s">
        <v>122</v>
      </c>
      <c r="C70" s="34" t="s">
        <v>123</v>
      </c>
      <c r="D70" s="32" t="s">
        <v>44</v>
      </c>
      <c r="E70" s="55">
        <f t="shared" si="2"/>
        <v>573563</v>
      </c>
      <c r="F70" s="59" t="s">
        <v>124</v>
      </c>
      <c r="G70" s="65">
        <v>94500</v>
      </c>
      <c r="H70" s="59" t="s">
        <v>125</v>
      </c>
      <c r="I70" s="65">
        <v>45563</v>
      </c>
      <c r="J70" s="69" t="s">
        <v>117</v>
      </c>
      <c r="K70" s="84">
        <v>94500</v>
      </c>
      <c r="L70" s="71" t="s">
        <v>126</v>
      </c>
      <c r="M70" s="84"/>
      <c r="N70" s="61" t="s">
        <v>127</v>
      </c>
      <c r="O70" s="60"/>
      <c r="P70" s="88" t="s">
        <v>128</v>
      </c>
      <c r="Q70" s="60">
        <v>270000</v>
      </c>
      <c r="R70" s="76" t="s">
        <v>129</v>
      </c>
      <c r="S70" s="84"/>
      <c r="T70" s="69" t="s">
        <v>100</v>
      </c>
      <c r="U70" s="70">
        <v>69000</v>
      </c>
      <c r="V70" s="80" t="s">
        <v>206</v>
      </c>
      <c r="W70" s="78"/>
      <c r="X70" s="80" t="s">
        <v>130</v>
      </c>
      <c r="Y70" s="78"/>
      <c r="Z70" s="76" t="s">
        <v>106</v>
      </c>
      <c r="AA70" s="70"/>
      <c r="AB70" s="76" t="s">
        <v>131</v>
      </c>
      <c r="AC70" s="70"/>
    </row>
    <row r="71" spans="1:29" x14ac:dyDescent="0.2">
      <c r="A71" s="45">
        <v>70</v>
      </c>
      <c r="B71" s="42" t="s">
        <v>217</v>
      </c>
      <c r="C71" s="34" t="s">
        <v>222</v>
      </c>
      <c r="D71" s="32" t="s">
        <v>44</v>
      </c>
      <c r="E71" s="55">
        <f t="shared" si="2"/>
        <v>565500</v>
      </c>
      <c r="F71" s="59" t="s">
        <v>124</v>
      </c>
      <c r="G71" s="65">
        <v>94500</v>
      </c>
      <c r="H71" s="61" t="s">
        <v>108</v>
      </c>
      <c r="I71" s="65"/>
      <c r="J71" s="69" t="s">
        <v>215</v>
      </c>
      <c r="K71" s="84">
        <v>195000</v>
      </c>
      <c r="L71" s="69" t="s">
        <v>45</v>
      </c>
      <c r="M71" s="84">
        <v>34500</v>
      </c>
      <c r="N71" s="59" t="s">
        <v>143</v>
      </c>
      <c r="O71" s="60">
        <v>28500</v>
      </c>
      <c r="P71" s="88" t="s">
        <v>147</v>
      </c>
      <c r="Q71" s="60">
        <v>69000</v>
      </c>
      <c r="R71" s="75" t="s">
        <v>100</v>
      </c>
      <c r="S71" s="84">
        <v>69000</v>
      </c>
      <c r="T71" s="71" t="s">
        <v>163</v>
      </c>
      <c r="U71" s="70"/>
      <c r="V71" s="80" t="s">
        <v>138</v>
      </c>
      <c r="W71" s="78"/>
      <c r="X71" s="80" t="s">
        <v>102</v>
      </c>
      <c r="Y71" s="78"/>
      <c r="Z71" s="76" t="s">
        <v>106</v>
      </c>
      <c r="AA71" s="70"/>
      <c r="AB71" s="75" t="s">
        <v>140</v>
      </c>
      <c r="AC71" s="70">
        <v>75000</v>
      </c>
    </row>
    <row r="72" spans="1:29" x14ac:dyDescent="0.2">
      <c r="A72" s="45">
        <v>71</v>
      </c>
      <c r="B72" s="42" t="s">
        <v>251</v>
      </c>
      <c r="C72" s="34" t="s">
        <v>324</v>
      </c>
      <c r="D72" s="32" t="s">
        <v>44</v>
      </c>
      <c r="E72" s="55">
        <f t="shared" si="2"/>
        <v>557813</v>
      </c>
      <c r="F72" s="59" t="s">
        <v>124</v>
      </c>
      <c r="G72" s="65">
        <v>94500</v>
      </c>
      <c r="H72" s="61" t="s">
        <v>108</v>
      </c>
      <c r="I72" s="65"/>
      <c r="J72" s="69" t="s">
        <v>116</v>
      </c>
      <c r="K72" s="84">
        <v>30750</v>
      </c>
      <c r="L72" s="69" t="s">
        <v>71</v>
      </c>
      <c r="M72" s="84">
        <v>45563</v>
      </c>
      <c r="N72" s="59" t="s">
        <v>143</v>
      </c>
      <c r="O72" s="60">
        <v>28500</v>
      </c>
      <c r="P72" s="88" t="s">
        <v>146</v>
      </c>
      <c r="Q72" s="60">
        <v>57750</v>
      </c>
      <c r="R72" s="75" t="s">
        <v>73</v>
      </c>
      <c r="S72" s="84">
        <v>94500</v>
      </c>
      <c r="T72" s="69" t="s">
        <v>166</v>
      </c>
      <c r="U72" s="70">
        <v>131250</v>
      </c>
      <c r="V72" s="80" t="s">
        <v>206</v>
      </c>
      <c r="W72" s="78"/>
      <c r="X72" s="80" t="s">
        <v>172</v>
      </c>
      <c r="Y72" s="78"/>
      <c r="Z72" s="76" t="s">
        <v>103</v>
      </c>
      <c r="AA72" s="70"/>
      <c r="AB72" s="75" t="s">
        <v>140</v>
      </c>
      <c r="AC72" s="70">
        <v>75000</v>
      </c>
    </row>
    <row r="73" spans="1:29" x14ac:dyDescent="0.2">
      <c r="A73" s="45">
        <v>72</v>
      </c>
      <c r="B73" s="42" t="s">
        <v>277</v>
      </c>
      <c r="C73" s="34" t="s">
        <v>278</v>
      </c>
      <c r="D73" s="32" t="s">
        <v>44</v>
      </c>
      <c r="E73" s="55">
        <f t="shared" si="2"/>
        <v>533250</v>
      </c>
      <c r="F73" s="59" t="s">
        <v>134</v>
      </c>
      <c r="G73" s="65">
        <v>330000</v>
      </c>
      <c r="H73" s="61" t="s">
        <v>108</v>
      </c>
      <c r="I73" s="65"/>
      <c r="J73" s="69" t="s">
        <v>119</v>
      </c>
      <c r="K73" s="84">
        <v>24750</v>
      </c>
      <c r="L73" s="69" t="s">
        <v>45</v>
      </c>
      <c r="M73" s="84">
        <v>34500</v>
      </c>
      <c r="N73" s="61" t="s">
        <v>144</v>
      </c>
      <c r="O73" s="60"/>
      <c r="P73" s="89" t="s">
        <v>135</v>
      </c>
      <c r="Q73" s="60"/>
      <c r="R73" s="75" t="s">
        <v>100</v>
      </c>
      <c r="S73" s="84">
        <v>69000</v>
      </c>
      <c r="T73" s="71" t="s">
        <v>163</v>
      </c>
      <c r="U73" s="70"/>
      <c r="V73" s="80" t="s">
        <v>138</v>
      </c>
      <c r="W73" s="78"/>
      <c r="X73" s="80" t="s">
        <v>102</v>
      </c>
      <c r="Y73" s="78"/>
      <c r="Z73" s="76" t="s">
        <v>103</v>
      </c>
      <c r="AA73" s="70"/>
      <c r="AB73" s="75" t="s">
        <v>140</v>
      </c>
      <c r="AC73" s="70">
        <v>75000</v>
      </c>
    </row>
    <row r="74" spans="1:29" x14ac:dyDescent="0.2">
      <c r="A74" s="45">
        <v>73</v>
      </c>
      <c r="B74" s="42" t="s">
        <v>286</v>
      </c>
      <c r="C74" s="34" t="s">
        <v>285</v>
      </c>
      <c r="D74" s="33" t="s">
        <v>44</v>
      </c>
      <c r="E74" s="55">
        <f t="shared" si="2"/>
        <v>491250</v>
      </c>
      <c r="F74" s="59" t="s">
        <v>107</v>
      </c>
      <c r="G74" s="65">
        <v>34500</v>
      </c>
      <c r="H74" s="61" t="s">
        <v>96</v>
      </c>
      <c r="I74" s="65"/>
      <c r="J74" s="69" t="s">
        <v>215</v>
      </c>
      <c r="K74" s="84">
        <v>195000</v>
      </c>
      <c r="L74" s="71" t="s">
        <v>126</v>
      </c>
      <c r="M74" s="84"/>
      <c r="N74" s="61" t="s">
        <v>144</v>
      </c>
      <c r="O74" s="60"/>
      <c r="P74" s="88" t="s">
        <v>146</v>
      </c>
      <c r="Q74" s="60">
        <v>57750</v>
      </c>
      <c r="R74" s="75" t="s">
        <v>73</v>
      </c>
      <c r="S74" s="84">
        <v>94500</v>
      </c>
      <c r="T74" s="69" t="s">
        <v>67</v>
      </c>
      <c r="U74" s="70">
        <v>34500</v>
      </c>
      <c r="V74" s="80" t="s">
        <v>206</v>
      </c>
      <c r="W74" s="78"/>
      <c r="X74" s="80" t="s">
        <v>138</v>
      </c>
      <c r="Y74" s="78"/>
      <c r="Z74" s="76" t="s">
        <v>106</v>
      </c>
      <c r="AA74" s="70"/>
      <c r="AB74" s="75" t="s">
        <v>140</v>
      </c>
      <c r="AC74" s="70">
        <v>75000</v>
      </c>
    </row>
    <row r="75" spans="1:29" x14ac:dyDescent="0.2">
      <c r="A75" s="45">
        <v>74</v>
      </c>
      <c r="B75" s="42" t="s">
        <v>221</v>
      </c>
      <c r="C75" s="34" t="s">
        <v>222</v>
      </c>
      <c r="D75" s="33" t="s">
        <v>44</v>
      </c>
      <c r="E75" s="55">
        <f t="shared" si="2"/>
        <v>425813</v>
      </c>
      <c r="F75" s="59" t="s">
        <v>225</v>
      </c>
      <c r="G75" s="65">
        <v>57750</v>
      </c>
      <c r="H75" s="61" t="s">
        <v>110</v>
      </c>
      <c r="I75" s="65"/>
      <c r="J75" s="69" t="s">
        <v>117</v>
      </c>
      <c r="K75" s="84">
        <v>94500</v>
      </c>
      <c r="L75" s="71" t="s">
        <v>126</v>
      </c>
      <c r="M75" s="84"/>
      <c r="N75" s="59" t="s">
        <v>143</v>
      </c>
      <c r="O75" s="60">
        <v>28500</v>
      </c>
      <c r="P75" s="88" t="s">
        <v>150</v>
      </c>
      <c r="Q75" s="60">
        <v>165000</v>
      </c>
      <c r="R75" s="75" t="s">
        <v>159</v>
      </c>
      <c r="S75" s="84">
        <v>45563</v>
      </c>
      <c r="T75" s="69" t="s">
        <v>67</v>
      </c>
      <c r="U75" s="70">
        <v>34500</v>
      </c>
      <c r="V75" s="80" t="s">
        <v>206</v>
      </c>
      <c r="W75" s="78"/>
      <c r="X75" s="80" t="s">
        <v>130</v>
      </c>
      <c r="Y75" s="78"/>
      <c r="Z75" s="76" t="s">
        <v>103</v>
      </c>
      <c r="AA75" s="70"/>
      <c r="AB75" s="76" t="s">
        <v>106</v>
      </c>
      <c r="AC75" s="70"/>
    </row>
    <row r="76" spans="1:29" x14ac:dyDescent="0.2">
      <c r="A76" s="45">
        <v>75</v>
      </c>
      <c r="B76" s="42" t="s">
        <v>239</v>
      </c>
      <c r="C76" s="34" t="s">
        <v>240</v>
      </c>
      <c r="D76" s="33" t="s">
        <v>44</v>
      </c>
      <c r="E76" s="55">
        <f t="shared" si="2"/>
        <v>413250</v>
      </c>
      <c r="F76" s="59" t="s">
        <v>124</v>
      </c>
      <c r="G76" s="65">
        <v>94500</v>
      </c>
      <c r="H76" s="59" t="s">
        <v>107</v>
      </c>
      <c r="I76" s="65">
        <v>34500</v>
      </c>
      <c r="J76" s="69" t="s">
        <v>117</v>
      </c>
      <c r="K76" s="84">
        <v>94500</v>
      </c>
      <c r="L76" s="69" t="s">
        <v>45</v>
      </c>
      <c r="M76" s="84">
        <v>34500</v>
      </c>
      <c r="N76" s="59" t="s">
        <v>143</v>
      </c>
      <c r="O76" s="60">
        <v>28500</v>
      </c>
      <c r="P76" s="88" t="s">
        <v>147</v>
      </c>
      <c r="Q76" s="60">
        <v>69000</v>
      </c>
      <c r="R76" s="75" t="s">
        <v>164</v>
      </c>
      <c r="S76" s="84">
        <v>57750</v>
      </c>
      <c r="T76" s="71" t="s">
        <v>163</v>
      </c>
      <c r="U76" s="70"/>
      <c r="V76" s="80" t="s">
        <v>138</v>
      </c>
      <c r="W76" s="78"/>
      <c r="X76" s="80" t="s">
        <v>102</v>
      </c>
      <c r="Y76" s="78"/>
      <c r="Z76" s="76" t="s">
        <v>139</v>
      </c>
      <c r="AA76" s="70"/>
      <c r="AB76" s="76" t="s">
        <v>103</v>
      </c>
      <c r="AC76" s="70"/>
    </row>
    <row r="77" spans="1:29" x14ac:dyDescent="0.2">
      <c r="A77" s="45">
        <v>76</v>
      </c>
      <c r="B77" s="42" t="s">
        <v>53</v>
      </c>
      <c r="C77" s="34" t="s">
        <v>79</v>
      </c>
      <c r="D77" s="33" t="s">
        <v>44</v>
      </c>
      <c r="E77" s="55">
        <f t="shared" si="2"/>
        <v>393000</v>
      </c>
      <c r="F77" s="61" t="s">
        <v>108</v>
      </c>
      <c r="G77" s="65"/>
      <c r="H77" s="61" t="s">
        <v>96</v>
      </c>
      <c r="I77" s="65"/>
      <c r="J77" s="69" t="s">
        <v>117</v>
      </c>
      <c r="K77" s="84">
        <v>94500</v>
      </c>
      <c r="L77" s="71" t="s">
        <v>126</v>
      </c>
      <c r="M77" s="84"/>
      <c r="N77" s="61" t="s">
        <v>144</v>
      </c>
      <c r="O77" s="60"/>
      <c r="P77" s="88" t="s">
        <v>146</v>
      </c>
      <c r="Q77" s="60">
        <v>57750</v>
      </c>
      <c r="R77" s="75" t="s">
        <v>166</v>
      </c>
      <c r="S77" s="84">
        <v>131250</v>
      </c>
      <c r="T77" s="69" t="s">
        <v>67</v>
      </c>
      <c r="U77" s="70">
        <v>34500</v>
      </c>
      <c r="V77" s="80" t="s">
        <v>206</v>
      </c>
      <c r="W77" s="78"/>
      <c r="X77" s="80" t="s">
        <v>138</v>
      </c>
      <c r="Y77" s="78"/>
      <c r="Z77" s="76" t="s">
        <v>139</v>
      </c>
      <c r="AA77" s="70"/>
      <c r="AB77" s="75" t="s">
        <v>140</v>
      </c>
      <c r="AC77" s="70">
        <v>75000</v>
      </c>
    </row>
    <row r="78" spans="1:29" x14ac:dyDescent="0.2">
      <c r="A78" s="45">
        <v>77</v>
      </c>
      <c r="B78" s="42" t="s">
        <v>326</v>
      </c>
      <c r="C78" s="34" t="s">
        <v>252</v>
      </c>
      <c r="D78" s="33" t="s">
        <v>44</v>
      </c>
      <c r="E78" s="55">
        <f t="shared" si="2"/>
        <v>390750</v>
      </c>
      <c r="F78" s="59" t="s">
        <v>225</v>
      </c>
      <c r="G78" s="65">
        <v>57750</v>
      </c>
      <c r="H78" s="61" t="s">
        <v>108</v>
      </c>
      <c r="I78" s="65"/>
      <c r="J78" s="69" t="s">
        <v>215</v>
      </c>
      <c r="K78" s="84">
        <v>195000</v>
      </c>
      <c r="L78" s="69" t="s">
        <v>118</v>
      </c>
      <c r="M78" s="84">
        <v>34500</v>
      </c>
      <c r="N78" s="61" t="s">
        <v>69</v>
      </c>
      <c r="O78" s="60"/>
      <c r="P78" s="88" t="s">
        <v>98</v>
      </c>
      <c r="Q78" s="60">
        <v>28500</v>
      </c>
      <c r="R78" s="76" t="s">
        <v>137</v>
      </c>
      <c r="S78" s="84"/>
      <c r="T78" s="71" t="s">
        <v>163</v>
      </c>
      <c r="U78" s="70"/>
      <c r="V78" s="80" t="s">
        <v>247</v>
      </c>
      <c r="W78" s="78"/>
      <c r="X78" s="80" t="s">
        <v>102</v>
      </c>
      <c r="Y78" s="78"/>
      <c r="Z78" s="76" t="s">
        <v>131</v>
      </c>
      <c r="AA78" s="70"/>
      <c r="AB78" s="75" t="s">
        <v>140</v>
      </c>
      <c r="AC78" s="70">
        <v>75000</v>
      </c>
    </row>
    <row r="79" spans="1:29" x14ac:dyDescent="0.2">
      <c r="A79" s="45">
        <v>78</v>
      </c>
      <c r="B79" s="42" t="s">
        <v>268</v>
      </c>
      <c r="C79" s="34" t="s">
        <v>266</v>
      </c>
      <c r="D79" s="33" t="s">
        <v>44</v>
      </c>
      <c r="E79" s="55">
        <f t="shared" si="2"/>
        <v>244313</v>
      </c>
      <c r="F79" s="59" t="s">
        <v>225</v>
      </c>
      <c r="G79" s="65">
        <v>57750</v>
      </c>
      <c r="H79" s="59" t="s">
        <v>107</v>
      </c>
      <c r="I79" s="65">
        <v>34500</v>
      </c>
      <c r="J79" s="69" t="s">
        <v>71</v>
      </c>
      <c r="K79" s="84">
        <v>45563</v>
      </c>
      <c r="L79" s="71" t="s">
        <v>212</v>
      </c>
      <c r="M79" s="84"/>
      <c r="N79" s="59" t="s">
        <v>145</v>
      </c>
      <c r="O79" s="60">
        <v>24750</v>
      </c>
      <c r="P79" s="88" t="s">
        <v>143</v>
      </c>
      <c r="Q79" s="60">
        <v>28500</v>
      </c>
      <c r="R79" s="75" t="s">
        <v>162</v>
      </c>
      <c r="S79" s="84">
        <v>53250</v>
      </c>
      <c r="T79" s="71" t="s">
        <v>158</v>
      </c>
      <c r="U79" s="70"/>
      <c r="V79" s="80" t="s">
        <v>138</v>
      </c>
      <c r="W79" s="78"/>
      <c r="X79" s="80" t="s">
        <v>102</v>
      </c>
      <c r="Y79" s="78"/>
      <c r="Z79" s="76" t="s">
        <v>139</v>
      </c>
      <c r="AA79" s="70"/>
      <c r="AB79" s="76" t="s">
        <v>103</v>
      </c>
      <c r="AC79" s="70"/>
    </row>
    <row r="80" spans="1:29" ht="11.55" thickBot="1" x14ac:dyDescent="0.25">
      <c r="A80" s="46">
        <v>79</v>
      </c>
      <c r="B80" s="44" t="s">
        <v>254</v>
      </c>
      <c r="C80" s="52" t="s">
        <v>253</v>
      </c>
      <c r="D80" s="53" t="s">
        <v>44</v>
      </c>
      <c r="E80" s="56">
        <f t="shared" si="2"/>
        <v>224063</v>
      </c>
      <c r="F80" s="62" t="s">
        <v>125</v>
      </c>
      <c r="G80" s="66">
        <v>45563</v>
      </c>
      <c r="H80" s="62" t="s">
        <v>255</v>
      </c>
      <c r="I80" s="66">
        <v>24750</v>
      </c>
      <c r="J80" s="86" t="s">
        <v>45</v>
      </c>
      <c r="K80" s="85">
        <v>34500</v>
      </c>
      <c r="L80" s="72" t="s">
        <v>212</v>
      </c>
      <c r="M80" s="85"/>
      <c r="N80" s="62" t="s">
        <v>143</v>
      </c>
      <c r="O80" s="63">
        <v>28500</v>
      </c>
      <c r="P80" s="91" t="s">
        <v>147</v>
      </c>
      <c r="Q80" s="63">
        <v>69000</v>
      </c>
      <c r="R80" s="77" t="s">
        <v>160</v>
      </c>
      <c r="S80" s="85"/>
      <c r="T80" s="86" t="s">
        <v>165</v>
      </c>
      <c r="U80" s="73">
        <v>21750</v>
      </c>
      <c r="V80" s="82" t="s">
        <v>138</v>
      </c>
      <c r="W80" s="79"/>
      <c r="X80" s="82" t="s">
        <v>130</v>
      </c>
      <c r="Y80" s="79"/>
      <c r="Z80" s="77" t="s">
        <v>106</v>
      </c>
      <c r="AA80" s="73"/>
      <c r="AB80" s="77" t="s">
        <v>131</v>
      </c>
      <c r="AC80" s="73"/>
    </row>
  </sheetData>
  <phoneticPr fontId="2" type="noConversion"/>
  <pageMargins left="0.1" right="0.1" top="0.25" bottom="0.25" header="0.5" footer="0.5"/>
  <pageSetup scale="83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3"/>
  </sheetPr>
  <dimension ref="B1:E96"/>
  <sheetViews>
    <sheetView zoomScale="90" zoomScaleNormal="90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C54" sqref="C1:C54"/>
    </sheetView>
  </sheetViews>
  <sheetFormatPr defaultColWidth="63.5" defaultRowHeight="15.65" x14ac:dyDescent="0.25"/>
  <cols>
    <col min="1" max="1" width="1.5" style="4" customWidth="1"/>
    <col min="2" max="2" width="25.875" style="4" customWidth="1"/>
    <col min="3" max="3" width="7.875" style="12" bestFit="1" customWidth="1"/>
    <col min="4" max="4" width="5.875" style="12" bestFit="1" customWidth="1"/>
    <col min="5" max="5" width="12.5" style="13" bestFit="1" customWidth="1"/>
    <col min="6" max="6" width="5.375" style="4" customWidth="1"/>
    <col min="7" max="16384" width="63.5" style="4"/>
  </cols>
  <sheetData>
    <row r="1" spans="2:5" ht="4.5999999999999996" customHeight="1" thickBot="1" x14ac:dyDescent="0.3"/>
    <row r="2" spans="2:5" s="14" customFormat="1" ht="32.950000000000003" customHeight="1" thickBot="1" x14ac:dyDescent="0.25">
      <c r="B2" s="1" t="s">
        <v>176</v>
      </c>
      <c r="C2" s="2" t="s">
        <v>177</v>
      </c>
      <c r="D2" s="2" t="s">
        <v>64</v>
      </c>
      <c r="E2" s="3" t="s">
        <v>175</v>
      </c>
    </row>
    <row r="3" spans="2:5" x14ac:dyDescent="0.25">
      <c r="B3" s="5" t="s">
        <v>39</v>
      </c>
      <c r="C3" s="15">
        <f>COUNTIF(Selections!$F$1:$AB$80,"tiger woods")</f>
        <v>34</v>
      </c>
      <c r="D3" s="15" t="s">
        <v>57</v>
      </c>
      <c r="E3" s="16" t="s">
        <v>191</v>
      </c>
    </row>
    <row r="4" spans="2:5" x14ac:dyDescent="0.25">
      <c r="B4" s="6" t="s">
        <v>95</v>
      </c>
      <c r="C4" s="17">
        <f>COUNTIF(Selections!$F$1:$AB$80,"Phil Mickelson")</f>
        <v>22</v>
      </c>
      <c r="D4" s="17" t="s">
        <v>57</v>
      </c>
      <c r="E4" s="18" t="s">
        <v>111</v>
      </c>
    </row>
    <row r="5" spans="2:5" x14ac:dyDescent="0.25">
      <c r="B5" s="6" t="s">
        <v>26</v>
      </c>
      <c r="C5" s="17">
        <f>COUNTIF(Selections!$F$1:$AB$80,"Ernie Els")</f>
        <v>27</v>
      </c>
      <c r="D5" s="17" t="s">
        <v>57</v>
      </c>
      <c r="E5" s="18" t="s">
        <v>88</v>
      </c>
    </row>
    <row r="6" spans="2:5" x14ac:dyDescent="0.25">
      <c r="B6" s="6" t="s">
        <v>29</v>
      </c>
      <c r="C6" s="17">
        <f>COUNTIF(Selections!$F$1:$AB$80,"Padraig Harrington")</f>
        <v>11</v>
      </c>
      <c r="D6" s="17" t="s">
        <v>57</v>
      </c>
      <c r="E6" s="18" t="s">
        <v>190</v>
      </c>
    </row>
    <row r="7" spans="2:5" x14ac:dyDescent="0.25">
      <c r="B7" s="6" t="s">
        <v>37</v>
      </c>
      <c r="C7" s="17">
        <f>COUNTIF(Selections!$F$1:$AB$80,"Steve Stricker")</f>
        <v>18</v>
      </c>
      <c r="D7" s="17" t="s">
        <v>57</v>
      </c>
      <c r="E7" s="18" t="s">
        <v>189</v>
      </c>
    </row>
    <row r="8" spans="2:5" x14ac:dyDescent="0.25">
      <c r="B8" s="6" t="s">
        <v>33</v>
      </c>
      <c r="C8" s="17">
        <f>COUNTIF(Selections!$F$1:$AB$80,"Geoff Ogilvy")</f>
        <v>5</v>
      </c>
      <c r="D8" s="17" t="s">
        <v>57</v>
      </c>
      <c r="E8" s="18" t="s">
        <v>320</v>
      </c>
    </row>
    <row r="9" spans="2:5" x14ac:dyDescent="0.25">
      <c r="B9" s="6" t="s">
        <v>108</v>
      </c>
      <c r="C9" s="17">
        <f>COUNTIF(Selections!$F$1:$AB$80,"Jim Furyk")</f>
        <v>12</v>
      </c>
      <c r="D9" s="17" t="s">
        <v>57</v>
      </c>
      <c r="E9" s="18" t="s">
        <v>89</v>
      </c>
    </row>
    <row r="10" spans="2:5" x14ac:dyDescent="0.25">
      <c r="B10" s="6" t="s">
        <v>38</v>
      </c>
      <c r="C10" s="17">
        <f>COUNTIF(Selections!$F$1:$AB$80,"Lee Westwood")</f>
        <v>14</v>
      </c>
      <c r="D10" s="17" t="s">
        <v>57</v>
      </c>
      <c r="E10" s="18" t="s">
        <v>188</v>
      </c>
    </row>
    <row r="11" spans="2:5" x14ac:dyDescent="0.25">
      <c r="B11" s="6" t="s">
        <v>107</v>
      </c>
      <c r="C11" s="17">
        <f>COUNTIF(Selections!$F$1:$AB$80,"Reteif Goosen")</f>
        <v>11</v>
      </c>
      <c r="D11" s="17" t="s">
        <v>57</v>
      </c>
      <c r="E11" s="18" t="s">
        <v>187</v>
      </c>
    </row>
    <row r="12" spans="2:5" x14ac:dyDescent="0.25">
      <c r="B12" s="6" t="s">
        <v>109</v>
      </c>
      <c r="C12" s="17">
        <f>COUNTIF(Selections!$F$1:$AB$80,"Vijay Singh")</f>
        <v>1</v>
      </c>
      <c r="D12" s="17" t="s">
        <v>57</v>
      </c>
      <c r="E12" s="18" t="s">
        <v>192</v>
      </c>
    </row>
    <row r="13" spans="2:5" x14ac:dyDescent="0.25">
      <c r="B13" s="6" t="s">
        <v>27</v>
      </c>
      <c r="C13" s="17">
        <f>COUNTIF(Selections!$F$1:$AB$80,"Sergio Garcia")</f>
        <v>1</v>
      </c>
      <c r="D13" s="17" t="s">
        <v>57</v>
      </c>
      <c r="E13" s="18" t="s">
        <v>94</v>
      </c>
    </row>
    <row r="14" spans="2:5" ht="16.3" thickBot="1" x14ac:dyDescent="0.3">
      <c r="B14" s="7" t="s">
        <v>110</v>
      </c>
      <c r="C14" s="19">
        <f>COUNTIF(Selections!$F$1:$AB$80,"Stuart Cink")</f>
        <v>2</v>
      </c>
      <c r="D14" s="19" t="s">
        <v>57</v>
      </c>
      <c r="E14" s="20" t="s">
        <v>93</v>
      </c>
    </row>
    <row r="15" spans="2:5" x14ac:dyDescent="0.25">
      <c r="B15" s="8" t="s">
        <v>45</v>
      </c>
      <c r="C15" s="21">
        <f>COUNTIF(Selections!$F$1:$AB$80,"Camilo Villegas")</f>
        <v>19</v>
      </c>
      <c r="D15" s="21" t="s">
        <v>59</v>
      </c>
      <c r="E15" s="22" t="s">
        <v>112</v>
      </c>
    </row>
    <row r="16" spans="2:5" x14ac:dyDescent="0.25">
      <c r="B16" s="9" t="s">
        <v>22</v>
      </c>
      <c r="C16" s="23">
        <f>COUNTIF(Selections!$F$1:$AB$80,"Paul Casey")</f>
        <v>18</v>
      </c>
      <c r="D16" s="23" t="s">
        <v>59</v>
      </c>
      <c r="E16" s="24" t="s">
        <v>112</v>
      </c>
    </row>
    <row r="17" spans="2:5" x14ac:dyDescent="0.25">
      <c r="B17" s="9" t="s">
        <v>34</v>
      </c>
      <c r="C17" s="23">
        <f>COUNTIF(Selections!$F$1:$AB$80,"Ian Poulter")</f>
        <v>18</v>
      </c>
      <c r="D17" s="23" t="s">
        <v>59</v>
      </c>
      <c r="E17" s="24" t="s">
        <v>192</v>
      </c>
    </row>
    <row r="18" spans="2:5" x14ac:dyDescent="0.25">
      <c r="B18" s="9" t="s">
        <v>121</v>
      </c>
      <c r="C18" s="23">
        <f>COUNTIF(Selections!$F$1:$AB$80,"Rory Mcilroy")</f>
        <v>9</v>
      </c>
      <c r="D18" s="23" t="s">
        <v>59</v>
      </c>
      <c r="E18" s="24" t="s">
        <v>193</v>
      </c>
    </row>
    <row r="19" spans="2:5" x14ac:dyDescent="0.25">
      <c r="B19" s="9" t="s">
        <v>114</v>
      </c>
      <c r="C19" s="23">
        <f>COUNTIF(Selections!$F$1:$AB$80,"Anthony Kim")</f>
        <v>25</v>
      </c>
      <c r="D19" s="23" t="s">
        <v>59</v>
      </c>
      <c r="E19" s="24" t="s">
        <v>194</v>
      </c>
    </row>
    <row r="20" spans="2:5" x14ac:dyDescent="0.25">
      <c r="B20" s="9" t="s">
        <v>118</v>
      </c>
      <c r="C20" s="23">
        <f>COUNTIF(Selections!$F$1:$AB$80,"Dustin Johnson")</f>
        <v>10</v>
      </c>
      <c r="D20" s="23" t="s">
        <v>59</v>
      </c>
      <c r="E20" s="24" t="s">
        <v>195</v>
      </c>
    </row>
    <row r="21" spans="2:5" x14ac:dyDescent="0.25">
      <c r="B21" s="9" t="s">
        <v>36</v>
      </c>
      <c r="C21" s="23">
        <f>COUNTIF(Selections!$F$1:$AB$80,"Henrik Stenson")</f>
        <v>3</v>
      </c>
      <c r="D21" s="23" t="s">
        <v>59</v>
      </c>
      <c r="E21" s="24" t="s">
        <v>94</v>
      </c>
    </row>
    <row r="22" spans="2:5" x14ac:dyDescent="0.25">
      <c r="B22" s="9" t="s">
        <v>66</v>
      </c>
      <c r="C22" s="23">
        <f>COUNTIF(Selections!$F$1:$AB$80,"Hunter Mahan")</f>
        <v>6</v>
      </c>
      <c r="D22" s="23" t="s">
        <v>59</v>
      </c>
      <c r="E22" s="24" t="s">
        <v>196</v>
      </c>
    </row>
    <row r="23" spans="2:5" x14ac:dyDescent="0.25">
      <c r="B23" s="9" t="s">
        <v>70</v>
      </c>
      <c r="C23" s="23">
        <f>COUNTIF(Selections!$F$1:$AB$80,"Nick Watney")</f>
        <v>7</v>
      </c>
      <c r="D23" s="23" t="s">
        <v>59</v>
      </c>
      <c r="E23" s="24" t="s">
        <v>197</v>
      </c>
    </row>
    <row r="24" spans="2:5" x14ac:dyDescent="0.25">
      <c r="B24" s="9" t="s">
        <v>71</v>
      </c>
      <c r="C24" s="23">
        <f>COUNTIF(Selections!$F$1:$AB$80,"Sean O'Hair")</f>
        <v>10</v>
      </c>
      <c r="D24" s="23" t="s">
        <v>59</v>
      </c>
      <c r="E24" s="24" t="s">
        <v>197</v>
      </c>
    </row>
    <row r="25" spans="2:5" x14ac:dyDescent="0.25">
      <c r="B25" s="9" t="s">
        <v>117</v>
      </c>
      <c r="C25" s="23">
        <f>COUNTIF(Selections!$F$1:$AB$80,"Angel Cabrera")</f>
        <v>13</v>
      </c>
      <c r="D25" s="23" t="s">
        <v>59</v>
      </c>
      <c r="E25" s="24" t="s">
        <v>94</v>
      </c>
    </row>
    <row r="26" spans="2:5" x14ac:dyDescent="0.25">
      <c r="B26" s="9" t="s">
        <v>25</v>
      </c>
      <c r="C26" s="23">
        <f>COUNTIF(Selections!$F$1:$AB$80,"Luke Donald")</f>
        <v>8</v>
      </c>
      <c r="D26" s="23" t="s">
        <v>59</v>
      </c>
      <c r="E26" s="24" t="s">
        <v>198</v>
      </c>
    </row>
    <row r="27" spans="2:5" x14ac:dyDescent="0.25">
      <c r="B27" s="9" t="s">
        <v>119</v>
      </c>
      <c r="C27" s="23">
        <f>COUNTIF(Selections!$F$1:$AB$80,"Robert Allenby")</f>
        <v>2</v>
      </c>
      <c r="D27" s="23" t="s">
        <v>59</v>
      </c>
      <c r="E27" s="24" t="s">
        <v>199</v>
      </c>
    </row>
    <row r="28" spans="2:5" x14ac:dyDescent="0.25">
      <c r="B28" s="9" t="s">
        <v>115</v>
      </c>
      <c r="C28" s="23">
        <f>COUNTIF(Selections!$F$1:$AB$80,"Ross Fisher")</f>
        <v>1</v>
      </c>
      <c r="D28" s="23" t="s">
        <v>59</v>
      </c>
      <c r="E28" s="24" t="s">
        <v>93</v>
      </c>
    </row>
    <row r="29" spans="2:5" x14ac:dyDescent="0.25">
      <c r="B29" s="9" t="s">
        <v>116</v>
      </c>
      <c r="C29" s="23">
        <f>COUNTIF(Selections!$F$1:$AB$80,"Zach Johnson")</f>
        <v>4</v>
      </c>
      <c r="D29" s="23" t="s">
        <v>59</v>
      </c>
      <c r="E29" s="24" t="s">
        <v>200</v>
      </c>
    </row>
    <row r="30" spans="2:5" x14ac:dyDescent="0.25">
      <c r="B30" s="9" t="s">
        <v>97</v>
      </c>
      <c r="C30" s="23">
        <f>COUNTIF(Selections!$F$1:$AB$80,"Adam Scott")</f>
        <v>2</v>
      </c>
      <c r="D30" s="23" t="s">
        <v>59</v>
      </c>
      <c r="E30" s="24" t="s">
        <v>196</v>
      </c>
    </row>
    <row r="31" spans="2:5" x14ac:dyDescent="0.25">
      <c r="B31" s="9" t="s">
        <v>113</v>
      </c>
      <c r="C31" s="23">
        <f>COUNTIF(Selections!$F$1:$AB$80,"Lucas Glover")</f>
        <v>2</v>
      </c>
      <c r="D31" s="23" t="s">
        <v>59</v>
      </c>
      <c r="E31" s="24" t="s">
        <v>196</v>
      </c>
    </row>
    <row r="32" spans="2:5" ht="16.3" thickBot="1" x14ac:dyDescent="0.3">
      <c r="B32" s="10" t="s">
        <v>120</v>
      </c>
      <c r="C32" s="25">
        <f>COUNTIF(Selections!$F$1:$AB$80,"Trevor Immelman")</f>
        <v>1</v>
      </c>
      <c r="D32" s="25" t="s">
        <v>59</v>
      </c>
      <c r="E32" s="26" t="s">
        <v>93</v>
      </c>
    </row>
    <row r="33" spans="2:5" x14ac:dyDescent="0.25">
      <c r="B33" s="11" t="s">
        <v>142</v>
      </c>
      <c r="C33" s="27">
        <f>COUNTIF(Selections!$F$1:$AB$80,"Ricky Barnes")</f>
        <v>4</v>
      </c>
      <c r="D33" s="27" t="s">
        <v>60</v>
      </c>
      <c r="E33" s="28" t="s">
        <v>201</v>
      </c>
    </row>
    <row r="34" spans="2:5" x14ac:dyDescent="0.25">
      <c r="B34" s="6" t="s">
        <v>69</v>
      </c>
      <c r="C34" s="17">
        <f>COUNTIF(Selections!$F$1:$AB$80,"Martin Kaymer")</f>
        <v>9</v>
      </c>
      <c r="D34" s="17" t="s">
        <v>60</v>
      </c>
      <c r="E34" s="18" t="s">
        <v>180</v>
      </c>
    </row>
    <row r="35" spans="2:5" x14ac:dyDescent="0.25">
      <c r="B35" s="6" t="s">
        <v>143</v>
      </c>
      <c r="C35" s="17">
        <f>COUNTIF(Selections!$F$1:$AB$80,"Mike Weir")</f>
        <v>13</v>
      </c>
      <c r="D35" s="17" t="s">
        <v>60</v>
      </c>
      <c r="E35" s="18" t="s">
        <v>90</v>
      </c>
    </row>
    <row r="36" spans="2:5" x14ac:dyDescent="0.25">
      <c r="B36" s="6" t="s">
        <v>136</v>
      </c>
      <c r="C36" s="17">
        <f>COUNTIF(Selections!$F$1:$AB$80,"Y. E. Yang")</f>
        <v>10</v>
      </c>
      <c r="D36" s="17" t="s">
        <v>60</v>
      </c>
      <c r="E36" s="18" t="s">
        <v>180</v>
      </c>
    </row>
    <row r="37" spans="2:5" x14ac:dyDescent="0.25">
      <c r="B37" s="6" t="s">
        <v>41</v>
      </c>
      <c r="C37" s="17">
        <f>COUNTIF(Selections!$F$1:$AB$80,"Robert Karlsson")</f>
        <v>3</v>
      </c>
      <c r="D37" s="17" t="s">
        <v>60</v>
      </c>
      <c r="E37" s="18" t="s">
        <v>92</v>
      </c>
    </row>
    <row r="38" spans="2:5" x14ac:dyDescent="0.25">
      <c r="B38" s="6" t="s">
        <v>68</v>
      </c>
      <c r="C38" s="17">
        <f>COUNTIF(Selections!$F$1:$AB$80,"Soren Hansen")</f>
        <v>0</v>
      </c>
      <c r="D38" s="17" t="s">
        <v>60</v>
      </c>
      <c r="E38" s="18" t="s">
        <v>92</v>
      </c>
    </row>
    <row r="39" spans="2:5" x14ac:dyDescent="0.25">
      <c r="B39" s="6" t="s">
        <v>144</v>
      </c>
      <c r="C39" s="17">
        <f>COUNTIF(Selections!$F$1:$AB$80,"Tim Clark")</f>
        <v>18</v>
      </c>
      <c r="D39" s="17" t="s">
        <v>60</v>
      </c>
      <c r="E39" s="18" t="s">
        <v>186</v>
      </c>
    </row>
    <row r="40" spans="2:5" x14ac:dyDescent="0.25">
      <c r="B40" s="6" t="s">
        <v>145</v>
      </c>
      <c r="C40" s="17">
        <f>COUNTIF(Selections!$F$1:$AB$80,"Chad Campbell")</f>
        <v>19</v>
      </c>
      <c r="D40" s="17" t="s">
        <v>60</v>
      </c>
      <c r="E40" s="18" t="s">
        <v>180</v>
      </c>
    </row>
    <row r="41" spans="2:5" x14ac:dyDescent="0.25">
      <c r="B41" s="6" t="s">
        <v>135</v>
      </c>
      <c r="C41" s="17">
        <f>COUNTIF(Selections!$F$1:$AB$80,"Justin Leonard")</f>
        <v>9</v>
      </c>
      <c r="D41" s="17" t="s">
        <v>60</v>
      </c>
      <c r="E41" s="18" t="s">
        <v>92</v>
      </c>
    </row>
    <row r="42" spans="2:5" x14ac:dyDescent="0.25">
      <c r="B42" s="6" t="s">
        <v>146</v>
      </c>
      <c r="C42" s="17">
        <f>COUNTIF(Selections!$F$1:$AB$80,"Kenny Perry")</f>
        <v>13</v>
      </c>
      <c r="D42" s="17" t="s">
        <v>60</v>
      </c>
      <c r="E42" s="18" t="s">
        <v>92</v>
      </c>
    </row>
    <row r="43" spans="2:5" x14ac:dyDescent="0.25">
      <c r="B43" s="6" t="s">
        <v>30</v>
      </c>
      <c r="C43" s="17">
        <f>COUNTIF(Selections!$F$1:$AB$80,"Shingo Katayama")</f>
        <v>1</v>
      </c>
      <c r="D43" s="17" t="s">
        <v>60</v>
      </c>
      <c r="E43" s="18" t="s">
        <v>186</v>
      </c>
    </row>
    <row r="44" spans="2:5" x14ac:dyDescent="0.25">
      <c r="B44" s="6" t="s">
        <v>147</v>
      </c>
      <c r="C44" s="17">
        <f>COUNTIF(Selections!$F$1:$AB$80,"Matt Kuchar")</f>
        <v>26</v>
      </c>
      <c r="D44" s="17" t="s">
        <v>60</v>
      </c>
      <c r="E44" s="18" t="s">
        <v>186</v>
      </c>
    </row>
    <row r="45" spans="2:5" x14ac:dyDescent="0.25">
      <c r="B45" s="6" t="s">
        <v>148</v>
      </c>
      <c r="C45" s="17">
        <f>COUNTIF(Selections!$F$1:$AB$80,"Jerry Kelly")</f>
        <v>1</v>
      </c>
      <c r="D45" s="17" t="s">
        <v>60</v>
      </c>
      <c r="E45" s="18" t="s">
        <v>186</v>
      </c>
    </row>
    <row r="46" spans="2:5" x14ac:dyDescent="0.25">
      <c r="B46" s="6" t="s">
        <v>149</v>
      </c>
      <c r="C46" s="17">
        <f>COUNTIF(Selections!$F$1:$AB$80,"David Toms")</f>
        <v>0</v>
      </c>
      <c r="D46" s="17" t="s">
        <v>60</v>
      </c>
      <c r="E46" s="18" t="s">
        <v>92</v>
      </c>
    </row>
    <row r="47" spans="2:5" x14ac:dyDescent="0.25">
      <c r="B47" s="6" t="s">
        <v>127</v>
      </c>
      <c r="C47" s="17">
        <f>COUNTIF(Selections!$F$1:$AB$80,"Graeme McDowell")</f>
        <v>7</v>
      </c>
      <c r="D47" s="17" t="s">
        <v>60</v>
      </c>
      <c r="E47" s="18" t="s">
        <v>202</v>
      </c>
    </row>
    <row r="48" spans="2:5" x14ac:dyDescent="0.25">
      <c r="B48" s="6" t="s">
        <v>28</v>
      </c>
      <c r="C48" s="17">
        <f>COUNTIF(Selections!$F$1:$AB$80,"Todd Hamilton")</f>
        <v>1</v>
      </c>
      <c r="D48" s="17" t="s">
        <v>60</v>
      </c>
      <c r="E48" s="18" t="s">
        <v>180</v>
      </c>
    </row>
    <row r="49" spans="2:5" x14ac:dyDescent="0.25">
      <c r="B49" s="6" t="s">
        <v>150</v>
      </c>
      <c r="C49" s="17">
        <f>COUNTIF(Selections!$F$1:$AB$80,"Miguel Jimenez")</f>
        <v>2</v>
      </c>
      <c r="D49" s="17" t="s">
        <v>60</v>
      </c>
      <c r="E49" s="18" t="s">
        <v>90</v>
      </c>
    </row>
    <row r="50" spans="2:5" x14ac:dyDescent="0.25">
      <c r="B50" s="6" t="s">
        <v>151</v>
      </c>
      <c r="C50" s="17">
        <f>COUNTIF(Selections!$F$1:$AB$80,"Scott Verplank")</f>
        <v>1</v>
      </c>
      <c r="D50" s="17" t="s">
        <v>60</v>
      </c>
      <c r="E50" s="18" t="s">
        <v>92</v>
      </c>
    </row>
    <row r="51" spans="2:5" x14ac:dyDescent="0.25">
      <c r="B51" s="6" t="s">
        <v>152</v>
      </c>
      <c r="C51" s="17">
        <f>COUNTIF(Selections!$F$1:$AB$80,"Ryan Moore")</f>
        <v>2</v>
      </c>
      <c r="D51" s="17" t="s">
        <v>60</v>
      </c>
      <c r="E51" s="18" t="s">
        <v>180</v>
      </c>
    </row>
    <row r="52" spans="2:5" x14ac:dyDescent="0.25">
      <c r="B52" s="6" t="s">
        <v>23</v>
      </c>
      <c r="C52" s="17">
        <f>COUNTIF(Selections!$F$1:$AB$80,"Fred Couples")</f>
        <v>10</v>
      </c>
      <c r="D52" s="17" t="s">
        <v>60</v>
      </c>
      <c r="E52" s="18" t="s">
        <v>186</v>
      </c>
    </row>
    <row r="53" spans="2:5" x14ac:dyDescent="0.25">
      <c r="B53" s="6" t="s">
        <v>99</v>
      </c>
      <c r="C53" s="17">
        <f>COUNTIF(Selections!$F$1:$AB$80,"Rory Sabbatini")</f>
        <v>4</v>
      </c>
      <c r="D53" s="17" t="s">
        <v>60</v>
      </c>
      <c r="E53" s="18" t="s">
        <v>92</v>
      </c>
    </row>
    <row r="54" spans="2:5" x14ac:dyDescent="0.25">
      <c r="B54" s="6" t="s">
        <v>153</v>
      </c>
      <c r="C54" s="17">
        <f>COUNTIF(Selections!$F$1:$AB$80,"John Merrick")</f>
        <v>5</v>
      </c>
      <c r="D54" s="17" t="s">
        <v>60</v>
      </c>
      <c r="E54" s="18" t="s">
        <v>92</v>
      </c>
    </row>
    <row r="55" spans="2:5" ht="16.3" thickBot="1" x14ac:dyDescent="0.3">
      <c r="B55" s="7" t="s">
        <v>47</v>
      </c>
      <c r="C55" s="19">
        <f>COUNTIF(Selections!$F$1:$AB$80,"John Rollins")</f>
        <v>0</v>
      </c>
      <c r="D55" s="19" t="s">
        <v>60</v>
      </c>
      <c r="E55" s="20" t="s">
        <v>180</v>
      </c>
    </row>
    <row r="56" spans="2:5" x14ac:dyDescent="0.25">
      <c r="B56" s="8" t="s">
        <v>73</v>
      </c>
      <c r="C56" s="21">
        <f>COUNTIF(Selections!$F$1:$AB$80,"Heath Slocum")</f>
        <v>4</v>
      </c>
      <c r="D56" s="21" t="s">
        <v>56</v>
      </c>
      <c r="E56" s="22" t="s">
        <v>202</v>
      </c>
    </row>
    <row r="57" spans="2:5" x14ac:dyDescent="0.25">
      <c r="B57" s="9" t="s">
        <v>154</v>
      </c>
      <c r="C57" s="23">
        <f>COUNTIF(Selections!$F$1:$AB$80,"Jason Dufner")</f>
        <v>2</v>
      </c>
      <c r="D57" s="23" t="s">
        <v>56</v>
      </c>
      <c r="E57" s="24" t="s">
        <v>182</v>
      </c>
    </row>
    <row r="58" spans="2:5" x14ac:dyDescent="0.25">
      <c r="B58" s="9" t="s">
        <v>129</v>
      </c>
      <c r="C58" s="23">
        <f>COUNTIF(Selections!$F$1:$AB$80,"Ryo Ishikawa")</f>
        <v>7</v>
      </c>
      <c r="D58" s="23" t="s">
        <v>56</v>
      </c>
      <c r="E58" s="24" t="s">
        <v>201</v>
      </c>
    </row>
    <row r="59" spans="2:5" x14ac:dyDescent="0.25">
      <c r="B59" s="9" t="s">
        <v>155</v>
      </c>
      <c r="C59" s="23">
        <f>COUNTIF(Selections!$F$1:$AB$80,"Brian Gay")</f>
        <v>7</v>
      </c>
      <c r="D59" s="23" t="s">
        <v>56</v>
      </c>
      <c r="E59" s="24" t="s">
        <v>91</v>
      </c>
    </row>
    <row r="60" spans="2:5" x14ac:dyDescent="0.25">
      <c r="B60" s="9" t="s">
        <v>156</v>
      </c>
      <c r="C60" s="23">
        <f>COUNTIF(Selections!$F$1:$AB$80,"Francesco Molinari")</f>
        <v>2</v>
      </c>
      <c r="D60" s="23" t="s">
        <v>56</v>
      </c>
      <c r="E60" s="24" t="s">
        <v>179</v>
      </c>
    </row>
    <row r="61" spans="2:5" x14ac:dyDescent="0.25">
      <c r="B61" s="9" t="s">
        <v>157</v>
      </c>
      <c r="C61" s="23">
        <f>COUNTIF(Selections!$F$1:$AB$80,"Eduardo Molinari")</f>
        <v>9</v>
      </c>
      <c r="D61" s="23" t="s">
        <v>56</v>
      </c>
      <c r="E61" s="24" t="s">
        <v>181</v>
      </c>
    </row>
    <row r="62" spans="2:5" x14ac:dyDescent="0.25">
      <c r="B62" s="9" t="s">
        <v>158</v>
      </c>
      <c r="C62" s="23">
        <f>COUNTIF(Selections!$F$1:$AB$80,"Anders Hanson")</f>
        <v>1</v>
      </c>
      <c r="D62" s="23" t="s">
        <v>56</v>
      </c>
      <c r="E62" s="24" t="s">
        <v>180</v>
      </c>
    </row>
    <row r="63" spans="2:5" x14ac:dyDescent="0.25">
      <c r="B63" s="9" t="s">
        <v>159</v>
      </c>
      <c r="C63" s="23">
        <f>COUNTIF(Selections!$F$1:$AB$80,"Soren Kjeldsen")</f>
        <v>2</v>
      </c>
      <c r="D63" s="23" t="s">
        <v>56</v>
      </c>
      <c r="E63" s="24" t="s">
        <v>91</v>
      </c>
    </row>
    <row r="64" spans="2:5" x14ac:dyDescent="0.25">
      <c r="B64" s="9" t="s">
        <v>67</v>
      </c>
      <c r="C64" s="23">
        <f>COUNTIF(Selections!$F$1:$AB$80,"Steve Flesch")</f>
        <v>24</v>
      </c>
      <c r="D64" s="23" t="s">
        <v>56</v>
      </c>
      <c r="E64" s="24" t="s">
        <v>91</v>
      </c>
    </row>
    <row r="65" spans="2:5" x14ac:dyDescent="0.25">
      <c r="B65" s="9" t="s">
        <v>160</v>
      </c>
      <c r="C65" s="23">
        <f>COUNTIF(Selections!$F$1:$AB$80,"Chris Wood")</f>
        <v>3</v>
      </c>
      <c r="D65" s="23" t="s">
        <v>56</v>
      </c>
      <c r="E65" s="24" t="s">
        <v>181</v>
      </c>
    </row>
    <row r="66" spans="2:5" x14ac:dyDescent="0.25">
      <c r="B66" s="9" t="s">
        <v>161</v>
      </c>
      <c r="C66" s="23">
        <f>COUNTIF(Selections!$F$1:$AB$80,"Oliver Wilson")</f>
        <v>7</v>
      </c>
      <c r="D66" s="23" t="s">
        <v>56</v>
      </c>
      <c r="E66" s="24" t="s">
        <v>91</v>
      </c>
    </row>
    <row r="67" spans="2:5" x14ac:dyDescent="0.25">
      <c r="B67" s="9" t="s">
        <v>101</v>
      </c>
      <c r="C67" s="23">
        <f>COUNTIF(Selections!$F$1:$AB$80,"Michael Campbell")</f>
        <v>2</v>
      </c>
      <c r="D67" s="23" t="s">
        <v>56</v>
      </c>
      <c r="E67" s="24" t="s">
        <v>319</v>
      </c>
    </row>
    <row r="68" spans="2:5" x14ac:dyDescent="0.25">
      <c r="B68" s="9" t="s">
        <v>137</v>
      </c>
      <c r="C68" s="23">
        <f>COUNTIF(Selections!$F$1:$AB$80,"Ryan Palmer")</f>
        <v>5</v>
      </c>
      <c r="D68" s="23" t="s">
        <v>56</v>
      </c>
      <c r="E68" s="24" t="s">
        <v>91</v>
      </c>
    </row>
    <row r="69" spans="2:5" x14ac:dyDescent="0.25">
      <c r="B69" s="9" t="s">
        <v>162</v>
      </c>
      <c r="C69" s="23">
        <f>COUNTIF(Selections!$F$1:$AB$80,"Yuta Ikeda")</f>
        <v>6</v>
      </c>
      <c r="D69" s="23" t="s">
        <v>56</v>
      </c>
      <c r="E69" s="24" t="s">
        <v>179</v>
      </c>
    </row>
    <row r="70" spans="2:5" x14ac:dyDescent="0.25">
      <c r="B70" s="9" t="s">
        <v>163</v>
      </c>
      <c r="C70" s="23">
        <f>COUNTIF(Selections!$F$1:$AB$80,"Kevin Na")</f>
        <v>21</v>
      </c>
      <c r="D70" s="23" t="s">
        <v>56</v>
      </c>
      <c r="E70" s="24" t="s">
        <v>181</v>
      </c>
    </row>
    <row r="71" spans="2:5" x14ac:dyDescent="0.25">
      <c r="B71" s="9" t="s">
        <v>164</v>
      </c>
      <c r="C71" s="23">
        <f>COUNTIF(Selections!$F$1:$AB$80,"Bill Haas")</f>
        <v>14</v>
      </c>
      <c r="D71" s="23" t="s">
        <v>56</v>
      </c>
      <c r="E71" s="24" t="s">
        <v>91</v>
      </c>
    </row>
    <row r="72" spans="2:5" x14ac:dyDescent="0.25">
      <c r="B72" s="9" t="s">
        <v>165</v>
      </c>
      <c r="C72" s="23">
        <f>COUNTIF(Selections!$F$1:$AB$80,"Nathan Green")</f>
        <v>2</v>
      </c>
      <c r="D72" s="23" t="s">
        <v>56</v>
      </c>
      <c r="E72" s="24" t="s">
        <v>91</v>
      </c>
    </row>
    <row r="73" spans="2:5" x14ac:dyDescent="0.25">
      <c r="B73" s="9" t="s">
        <v>166</v>
      </c>
      <c r="C73" s="23">
        <f>COUNTIF(Selections!$F$1:$AB$80,"Steve Marino")</f>
        <v>17</v>
      </c>
      <c r="D73" s="23" t="s">
        <v>56</v>
      </c>
      <c r="E73" s="24" t="s">
        <v>91</v>
      </c>
    </row>
    <row r="74" spans="2:5" x14ac:dyDescent="0.25">
      <c r="B74" s="9" t="s">
        <v>167</v>
      </c>
      <c r="C74" s="23">
        <f>COUNTIF(Selections!$F$1:$AB$80,"Michael Sim")</f>
        <v>2</v>
      </c>
      <c r="D74" s="23" t="s">
        <v>56</v>
      </c>
      <c r="E74" s="24" t="s">
        <v>91</v>
      </c>
    </row>
    <row r="75" spans="2:5" x14ac:dyDescent="0.25">
      <c r="B75" s="9" t="s">
        <v>168</v>
      </c>
      <c r="C75" s="23">
        <f>COUNTIF(Selections!$F$1:$AB$80,"Simon Dyson")</f>
        <v>1</v>
      </c>
      <c r="D75" s="23" t="s">
        <v>56</v>
      </c>
      <c r="E75" s="24" t="s">
        <v>183</v>
      </c>
    </row>
    <row r="76" spans="2:5" x14ac:dyDescent="0.25">
      <c r="B76" s="9" t="s">
        <v>72</v>
      </c>
      <c r="C76" s="23">
        <f>COUNTIF(Selections!$F$1:$AB$80,"John Senden")</f>
        <v>4</v>
      </c>
      <c r="D76" s="23" t="s">
        <v>56</v>
      </c>
      <c r="E76" s="24" t="s">
        <v>180</v>
      </c>
    </row>
    <row r="77" spans="2:5" x14ac:dyDescent="0.25">
      <c r="B77" s="9" t="s">
        <v>100</v>
      </c>
      <c r="C77" s="23">
        <f>COUNTIF(Selections!$F$1:$AB$80,"Ben Crane")</f>
        <v>11</v>
      </c>
      <c r="D77" s="23" t="s">
        <v>56</v>
      </c>
      <c r="E77" s="24" t="s">
        <v>91</v>
      </c>
    </row>
    <row r="78" spans="2:5" ht="16.3" thickBot="1" x14ac:dyDescent="0.3">
      <c r="B78" s="10" t="s">
        <v>169</v>
      </c>
      <c r="C78" s="25">
        <f>COUNTIF(Selections!$F$1:$AB$80,"Marc Leishman")</f>
        <v>3</v>
      </c>
      <c r="D78" s="25" t="s">
        <v>56</v>
      </c>
      <c r="E78" s="26" t="s">
        <v>181</v>
      </c>
    </row>
    <row r="79" spans="2:5" x14ac:dyDescent="0.25">
      <c r="B79" s="11" t="s">
        <v>24</v>
      </c>
      <c r="C79" s="27">
        <f>COUNTIF(Selections!$F$1:$AB$80,"Ben Crenshaw")</f>
        <v>1</v>
      </c>
      <c r="D79" s="27" t="s">
        <v>58</v>
      </c>
      <c r="E79" s="28" t="s">
        <v>184</v>
      </c>
    </row>
    <row r="80" spans="2:5" x14ac:dyDescent="0.25">
      <c r="B80" s="6" t="s">
        <v>31</v>
      </c>
      <c r="C80" s="17">
        <f>COUNTIF(Selections!$F$1:$AB$80,"Bernhard Langer")</f>
        <v>26</v>
      </c>
      <c r="D80" s="17" t="s">
        <v>58</v>
      </c>
      <c r="E80" s="18" t="s">
        <v>204</v>
      </c>
    </row>
    <row r="81" spans="2:5" x14ac:dyDescent="0.25">
      <c r="B81" s="6" t="s">
        <v>35</v>
      </c>
      <c r="C81" s="17">
        <f>COUNTIF(Selections!$F$1:$AB$80,"Craig Stadler")</f>
        <v>1</v>
      </c>
      <c r="D81" s="17" t="s">
        <v>58</v>
      </c>
      <c r="E81" s="18" t="s">
        <v>185</v>
      </c>
    </row>
    <row r="82" spans="2:5" x14ac:dyDescent="0.25">
      <c r="B82" s="6" t="s">
        <v>130</v>
      </c>
      <c r="C82" s="17">
        <f>COUNTIF(Selections!$F$1:$AB$80,"Jose Maria Olazabal")</f>
        <v>16</v>
      </c>
      <c r="D82" s="17" t="s">
        <v>58</v>
      </c>
      <c r="E82" s="18" t="s">
        <v>183</v>
      </c>
    </row>
    <row r="83" spans="2:5" x14ac:dyDescent="0.25">
      <c r="B83" s="6" t="s">
        <v>170</v>
      </c>
      <c r="C83" s="17">
        <f>COUNTIF(Selections!$F$1:$AB$80,"Ray Floyd")</f>
        <v>0</v>
      </c>
      <c r="D83" s="17" t="s">
        <v>58</v>
      </c>
      <c r="E83" s="18" t="s">
        <v>184</v>
      </c>
    </row>
    <row r="84" spans="2:5" x14ac:dyDescent="0.25">
      <c r="B84" s="6" t="s">
        <v>171</v>
      </c>
      <c r="C84" s="17">
        <f>COUNTIF(Selections!$F$1:$AB$80,"Tom Watson")</f>
        <v>10</v>
      </c>
      <c r="D84" s="17" t="s">
        <v>58</v>
      </c>
      <c r="E84" s="18" t="s">
        <v>203</v>
      </c>
    </row>
    <row r="85" spans="2:5" x14ac:dyDescent="0.25">
      <c r="B85" s="6" t="s">
        <v>32</v>
      </c>
      <c r="C85" s="17">
        <f>COUNTIF(Selections!$F$1:$AB$80,"Sandy Lyle")</f>
        <v>10</v>
      </c>
      <c r="D85" s="17" t="s">
        <v>58</v>
      </c>
      <c r="E85" s="18" t="s">
        <v>183</v>
      </c>
    </row>
    <row r="86" spans="2:5" x14ac:dyDescent="0.25">
      <c r="B86" s="6" t="s">
        <v>40</v>
      </c>
      <c r="C86" s="17">
        <f>COUNTIF(Selections!$F$1:$AB$80,"Ian Woosnam")</f>
        <v>1</v>
      </c>
      <c r="D86" s="17" t="s">
        <v>58</v>
      </c>
      <c r="E86" s="18" t="s">
        <v>183</v>
      </c>
    </row>
    <row r="87" spans="2:5" x14ac:dyDescent="0.25">
      <c r="B87" s="6" t="s">
        <v>172</v>
      </c>
      <c r="C87" s="17">
        <f>COUNTIF(Selections!$F$1:$AB$80,"Larry Mize")</f>
        <v>5</v>
      </c>
      <c r="D87" s="17" t="s">
        <v>58</v>
      </c>
      <c r="E87" s="18" t="s">
        <v>181</v>
      </c>
    </row>
    <row r="88" spans="2:5" x14ac:dyDescent="0.25">
      <c r="B88" s="6" t="s">
        <v>173</v>
      </c>
      <c r="C88" s="17">
        <f>COUNTIF(Selections!$F$1:$AB$80,"Mark O'Meara")</f>
        <v>4</v>
      </c>
      <c r="D88" s="17" t="s">
        <v>58</v>
      </c>
      <c r="E88" s="18" t="s">
        <v>91</v>
      </c>
    </row>
    <row r="89" spans="2:5" x14ac:dyDescent="0.25">
      <c r="B89" s="6" t="s">
        <v>138</v>
      </c>
      <c r="C89" s="17">
        <f>COUNTIF(Selections!$F$1:$AB$80,"David Duval")</f>
        <v>39</v>
      </c>
      <c r="D89" s="17" t="s">
        <v>58</v>
      </c>
      <c r="E89" s="18" t="s">
        <v>91</v>
      </c>
    </row>
    <row r="90" spans="2:5" ht="16.3" thickBot="1" x14ac:dyDescent="0.3">
      <c r="B90" s="7" t="s">
        <v>102</v>
      </c>
      <c r="C90" s="19">
        <f>COUNTIF(Selections!$F$1:$AB$80,"Ben Curtis")</f>
        <v>45</v>
      </c>
      <c r="D90" s="19" t="s">
        <v>58</v>
      </c>
      <c r="E90" s="20" t="s">
        <v>91</v>
      </c>
    </row>
    <row r="91" spans="2:5" x14ac:dyDescent="0.25">
      <c r="B91" s="8" t="s">
        <v>139</v>
      </c>
      <c r="C91" s="21">
        <f>COUNTIF(Selections!$F$1:$AB$80,"Byeong-Hun An")</f>
        <v>24</v>
      </c>
      <c r="D91" s="21" t="s">
        <v>61</v>
      </c>
      <c r="E91" s="22" t="s">
        <v>178</v>
      </c>
    </row>
    <row r="92" spans="2:5" x14ac:dyDescent="0.25">
      <c r="B92" s="9" t="s">
        <v>103</v>
      </c>
      <c r="C92" s="23">
        <f>COUNTIF(Selections!$F$1:$AB$80,"Chang-Won Han")</f>
        <v>24</v>
      </c>
      <c r="D92" s="23" t="s">
        <v>61</v>
      </c>
      <c r="E92" s="24" t="s">
        <v>178</v>
      </c>
    </row>
    <row r="93" spans="2:5" x14ac:dyDescent="0.25">
      <c r="B93" s="9" t="s">
        <v>106</v>
      </c>
      <c r="C93" s="23">
        <f>COUNTIF(Selections!$F$1:$AB$80,"Ben Martin")</f>
        <v>29</v>
      </c>
      <c r="D93" s="23" t="s">
        <v>61</v>
      </c>
      <c r="E93" s="24" t="s">
        <v>178</v>
      </c>
    </row>
    <row r="94" spans="2:5" x14ac:dyDescent="0.25">
      <c r="B94" s="9" t="s">
        <v>174</v>
      </c>
      <c r="C94" s="23">
        <f>COUNTIF(Selections!$F$1:$AB$80,"Brad Benjamin")</f>
        <v>15</v>
      </c>
      <c r="D94" s="23" t="s">
        <v>61</v>
      </c>
      <c r="E94" s="24" t="s">
        <v>178</v>
      </c>
    </row>
    <row r="95" spans="2:5" x14ac:dyDescent="0.25">
      <c r="B95" s="9" t="s">
        <v>140</v>
      </c>
      <c r="C95" s="23">
        <f>COUNTIF(Selections!$F$1:$AB$80,"Matteo Manassero")</f>
        <v>38</v>
      </c>
      <c r="D95" s="23" t="s">
        <v>61</v>
      </c>
      <c r="E95" s="24" t="s">
        <v>178</v>
      </c>
    </row>
    <row r="96" spans="2:5" ht="16.3" thickBot="1" x14ac:dyDescent="0.3">
      <c r="B96" s="10" t="s">
        <v>131</v>
      </c>
      <c r="C96" s="25">
        <f>COUNTIF(Selections!$F$1:$AB$80,"Nathan Smith")</f>
        <v>28</v>
      </c>
      <c r="D96" s="25" t="s">
        <v>61</v>
      </c>
      <c r="E96" s="26" t="s">
        <v>178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Selections</vt:lpstr>
      <vt:lpstr>Totals</vt:lpstr>
      <vt:lpstr>Selections!OLE_LINK1</vt:lpstr>
    </vt:vector>
  </TitlesOfParts>
  <Company>Dell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Inc.</dc:creator>
  <cp:lastModifiedBy>David Valento</cp:lastModifiedBy>
  <cp:lastPrinted>2007-04-06T13:57:41Z</cp:lastPrinted>
  <dcterms:created xsi:type="dcterms:W3CDTF">2007-03-20T03:18:45Z</dcterms:created>
  <dcterms:modified xsi:type="dcterms:W3CDTF">2019-11-11T05:50:35Z</dcterms:modified>
</cp:coreProperties>
</file>